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!!!Data user\Desktop\Otabek\"/>
    </mc:Choice>
  </mc:AlternateContent>
  <xr:revisionPtr revIDLastSave="0" documentId="13_ncr:1_{23F7001F-2DDE-4575-812D-0CE792003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G53" i="1"/>
  <c r="G22" i="1"/>
  <c r="G11" i="1"/>
  <c r="I136" i="1"/>
  <c r="G136" i="1"/>
  <c r="I135" i="1"/>
  <c r="G135" i="1" s="1"/>
  <c r="I134" i="1"/>
  <c r="G134" i="1"/>
  <c r="G133" i="1"/>
  <c r="H132" i="1"/>
  <c r="G132" i="1" s="1"/>
  <c r="I131" i="1"/>
  <c r="G131" i="1"/>
  <c r="H130" i="1"/>
  <c r="I130" i="1"/>
  <c r="I129" i="1"/>
  <c r="G129" i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I122" i="1"/>
  <c r="G122" i="1" s="1"/>
  <c r="I121" i="1"/>
  <c r="G121" i="1" s="1"/>
  <c r="I120" i="1"/>
  <c r="G120" i="1" s="1"/>
  <c r="I119" i="1"/>
  <c r="G119" i="1" s="1"/>
  <c r="I118" i="1"/>
  <c r="G118" i="1" s="1"/>
  <c r="I117" i="1"/>
  <c r="G117" i="1" s="1"/>
  <c r="I115" i="1"/>
  <c r="G115" i="1" s="1"/>
  <c r="I114" i="1"/>
  <c r="G114" i="1" s="1"/>
  <c r="I113" i="1"/>
  <c r="G113" i="1" s="1"/>
  <c r="I112" i="1"/>
  <c r="G112" i="1" s="1"/>
  <c r="G116" i="1"/>
  <c r="G111" i="1"/>
  <c r="H110" i="1"/>
  <c r="I110" i="1"/>
  <c r="I109" i="1"/>
  <c r="G109" i="1" s="1"/>
  <c r="I108" i="1"/>
  <c r="G108" i="1" s="1"/>
  <c r="I106" i="1"/>
  <c r="G106" i="1" s="1"/>
  <c r="I103" i="1"/>
  <c r="G103" i="1" s="1"/>
  <c r="I99" i="1"/>
  <c r="G99" i="1" s="1"/>
  <c r="G100" i="1"/>
  <c r="G98" i="1"/>
  <c r="I96" i="1"/>
  <c r="G96" i="1" s="1"/>
  <c r="G95" i="1"/>
  <c r="H93" i="1"/>
  <c r="I93" i="1"/>
  <c r="I91" i="1"/>
  <c r="G91" i="1" s="1"/>
  <c r="I88" i="1"/>
  <c r="G88" i="1" s="1"/>
  <c r="I84" i="1"/>
  <c r="G84" i="1" s="1"/>
  <c r="G83" i="1"/>
  <c r="I80" i="1"/>
  <c r="G80" i="1" s="1"/>
  <c r="I79" i="1"/>
  <c r="G79" i="1" s="1"/>
  <c r="I76" i="1"/>
  <c r="G76" i="1" s="1"/>
  <c r="I75" i="1"/>
  <c r="G75" i="1" s="1"/>
  <c r="G71" i="1"/>
  <c r="I65" i="1"/>
  <c r="G65" i="1" s="1"/>
  <c r="I63" i="1"/>
  <c r="G63" i="1" s="1"/>
  <c r="I62" i="1"/>
  <c r="G62" i="1" s="1"/>
  <c r="G64" i="1"/>
  <c r="I58" i="1"/>
  <c r="G58" i="1" s="1"/>
  <c r="I57" i="1"/>
  <c r="G57" i="1" s="1"/>
  <c r="I56" i="1"/>
  <c r="G56" i="1" s="1"/>
  <c r="I55" i="1"/>
  <c r="G55" i="1" s="1"/>
  <c r="I52" i="1"/>
  <c r="G52" i="1" s="1"/>
  <c r="I51" i="1"/>
  <c r="G51" i="1" s="1"/>
  <c r="G50" i="1"/>
  <c r="G47" i="1"/>
  <c r="G46" i="1"/>
  <c r="G45" i="1"/>
  <c r="G44" i="1"/>
  <c r="I35" i="1"/>
  <c r="G35" i="1" s="1"/>
  <c r="I39" i="1"/>
  <c r="G39" i="1" s="1"/>
  <c r="I38" i="1"/>
  <c r="G38" i="1" s="1"/>
  <c r="I36" i="1"/>
  <c r="G36" i="1" s="1"/>
  <c r="G37" i="1"/>
  <c r="I31" i="1"/>
  <c r="G31" i="1" s="1"/>
  <c r="I29" i="1"/>
  <c r="G29" i="1" s="1"/>
  <c r="I27" i="1"/>
  <c r="G27" i="1" s="1"/>
  <c r="G28" i="1"/>
  <c r="G26" i="1"/>
  <c r="G25" i="1"/>
  <c r="G24" i="1"/>
  <c r="I20" i="1"/>
  <c r="G20" i="1" s="1"/>
  <c r="I19" i="1"/>
  <c r="G19" i="1" s="1"/>
  <c r="I18" i="1"/>
  <c r="G18" i="1" s="1"/>
  <c r="I17" i="1"/>
  <c r="G17" i="1" s="1"/>
  <c r="G21" i="1"/>
  <c r="G10" i="1"/>
  <c r="I8" i="1"/>
  <c r="G8" i="1" s="1"/>
  <c r="G9" i="1"/>
  <c r="G130" i="1" l="1"/>
  <c r="G110" i="1"/>
  <c r="G93" i="1"/>
  <c r="G97" i="1" l="1"/>
  <c r="G94" i="1"/>
  <c r="G92" i="1"/>
  <c r="G82" i="1"/>
  <c r="G81" i="1"/>
  <c r="G66" i="1"/>
  <c r="G60" i="1"/>
  <c r="G49" i="1"/>
  <c r="G48" i="1"/>
  <c r="G43" i="1"/>
  <c r="G42" i="1"/>
  <c r="G34" i="1"/>
  <c r="G33" i="1"/>
  <c r="G32" i="1"/>
  <c r="G7" i="1"/>
  <c r="G6" i="1"/>
  <c r="H105" i="1"/>
  <c r="H104" i="1"/>
  <c r="H54" i="1"/>
  <c r="I61" i="1" l="1"/>
  <c r="G61" i="1" s="1"/>
  <c r="I102" i="1"/>
  <c r="G102" i="1" s="1"/>
  <c r="I16" i="1"/>
  <c r="G16" i="1" s="1"/>
  <c r="I107" i="1" l="1"/>
  <c r="G107" i="1" s="1"/>
  <c r="J105" i="1"/>
  <c r="I105" i="1"/>
  <c r="J104" i="1"/>
  <c r="I104" i="1"/>
  <c r="G105" i="1" l="1"/>
  <c r="G104" i="1"/>
  <c r="I15" i="1"/>
  <c r="G15" i="1" s="1"/>
  <c r="I78" i="1"/>
  <c r="G78" i="1" s="1"/>
  <c r="I101" i="1"/>
  <c r="G101" i="1" s="1"/>
  <c r="I23" i="1"/>
  <c r="G23" i="1" s="1"/>
  <c r="I41" i="1"/>
  <c r="G41" i="1" s="1"/>
  <c r="I59" i="1"/>
  <c r="G59" i="1" s="1"/>
  <c r="I14" i="1"/>
  <c r="G14" i="1" s="1"/>
  <c r="I13" i="1"/>
  <c r="G13" i="1" s="1"/>
  <c r="I90" i="1"/>
  <c r="G90" i="1" s="1"/>
  <c r="I74" i="1"/>
  <c r="G74" i="1" s="1"/>
  <c r="I89" i="1"/>
  <c r="G89" i="1" s="1"/>
  <c r="I87" i="1"/>
  <c r="G87" i="1" s="1"/>
  <c r="I86" i="1"/>
  <c r="G86" i="1" s="1"/>
  <c r="I85" i="1"/>
  <c r="G85" i="1" s="1"/>
  <c r="I77" i="1"/>
  <c r="G77" i="1" s="1"/>
  <c r="I30" i="1"/>
  <c r="G30" i="1" s="1"/>
  <c r="I12" i="1"/>
  <c r="G12" i="1" s="1"/>
  <c r="J40" i="1"/>
  <c r="G40" i="1" s="1"/>
  <c r="I73" i="1" l="1"/>
  <c r="G73" i="1" s="1"/>
  <c r="I72" i="1"/>
  <c r="G72" i="1" s="1"/>
  <c r="I70" i="1"/>
  <c r="G70" i="1" s="1"/>
  <c r="I69" i="1"/>
  <c r="G69" i="1" s="1"/>
  <c r="I68" i="1"/>
  <c r="G68" i="1" s="1"/>
  <c r="I67" i="1"/>
  <c r="G67" i="1" s="1"/>
  <c r="G137" i="1" s="1"/>
  <c r="I54" i="1"/>
  <c r="G54" i="1" s="1"/>
</calcChain>
</file>

<file path=xl/sharedStrings.xml><?xml version="1.0" encoding="utf-8"?>
<sst xmlns="http://schemas.openxmlformats.org/spreadsheetml/2006/main" count="444" uniqueCount="76">
  <si>
    <t>Jami xarajatlar</t>
  </si>
  <si>
    <t>Kunlik
xarajati</t>
  </si>
  <si>
    <t>Boshqa xarjatlar</t>
  </si>
  <si>
    <t>Moliyalashtirish 
manbasi</t>
  </si>
  <si>
    <t>Jamg'arma</t>
  </si>
  <si>
    <t>Oqilov Qodir Rajaboy o'g'li</t>
  </si>
  <si>
    <t>Budjet</t>
  </si>
  <si>
    <t>O'ktamov Abrorjon Azamatovich</t>
  </si>
  <si>
    <t>Andijon viloyati
Namangan viloyati
Farg'ona viloyati</t>
  </si>
  <si>
    <t>Mo'minov Sarvar Murodovich</t>
  </si>
  <si>
    <t>Namangan viloyati
Farg'ona viloyati</t>
  </si>
  <si>
    <t>Maxsudov Sardor Azamat o'g'li</t>
  </si>
  <si>
    <t>Murodov Erkin Ergashevich</t>
  </si>
  <si>
    <t>Radjabov Sardor Baxtiyorovich</t>
  </si>
  <si>
    <t>Boqiyev Farxod Esanovich</t>
  </si>
  <si>
    <t>Sharifxodjayev Usman Ulfatovich</t>
  </si>
  <si>
    <t>Komilov Temur Kalandarovich</t>
  </si>
  <si>
    <t>Umarova Xilola Uktamovna</t>
  </si>
  <si>
    <t>Turaxodjayev Xusan Mizrabiddinovich</t>
  </si>
  <si>
    <t>Amirkulova Iroda Eldorovna</t>
  </si>
  <si>
    <t>Xolmuxamedov Akbarali Xamidulla o'g'li</t>
  </si>
  <si>
    <t>Abdumutalov Doniyor Baxtiyor o'g'li</t>
  </si>
  <si>
    <t>Alimkulov Baxriddin Pulatovich</t>
  </si>
  <si>
    <t>Raxomboyev Sardor Qahramonovich</t>
  </si>
  <si>
    <t>Qodir Sirojiddin Raxmonovich</t>
  </si>
  <si>
    <t>To'xtayev Davron Dilmurod o'g'li</t>
  </si>
  <si>
    <t>Raxmonov Umid Olimovich</t>
  </si>
  <si>
    <t>Xasanov Aziz Shuxratovich</t>
  </si>
  <si>
    <t>Shin Agrippina Vasilevna</t>
  </si>
  <si>
    <t>Ismatov Ibroxim Shaxriyorovich</t>
  </si>
  <si>
    <t>Andijon viloyati</t>
  </si>
  <si>
    <t>Namangan viloyati</t>
  </si>
  <si>
    <t>Farg'ona viloyati</t>
  </si>
  <si>
    <t>Xorazm viloyati</t>
  </si>
  <si>
    <t>Samarqand viloyati</t>
  </si>
  <si>
    <t>Buxoro viloyati</t>
  </si>
  <si>
    <t>Buxoro viloyati
Navoiy viloyati</t>
  </si>
  <si>
    <t>Qoraqalpog'iston Respublikasi</t>
  </si>
  <si>
    <t>Jizzax viloyati</t>
  </si>
  <si>
    <t>Usmonov Yunusali Yusupjonovich</t>
  </si>
  <si>
    <t>Nmangan viloyati</t>
  </si>
  <si>
    <t>Sharipov Ilyosbek Ilxomovich</t>
  </si>
  <si>
    <t>MA'LUMOT</t>
  </si>
  <si>
    <t>Jami:</t>
  </si>
  <si>
    <t>Almardonov Qaxramon</t>
  </si>
  <si>
    <t>Xizmat safarining 
qisqacha maqsadi</t>
  </si>
  <si>
    <t>Xizmat safari amalga oshirilgan hudud</t>
  </si>
  <si>
    <t xml:space="preserve">Xizmat safarini amalga oshirgan xodimning familiyasi va ismi </t>
  </si>
  <si>
    <t>Yoʻl 
xarajatlari</t>
  </si>
  <si>
    <t>O'rganish</t>
  </si>
  <si>
    <r>
      <t xml:space="preserve">Turar joy bilan bogʻliq </t>
    </r>
    <r>
      <rPr>
        <i/>
        <sz val="12"/>
        <color theme="1"/>
        <rFont val="Times New Roman"/>
        <family val="1"/>
        <charset val="204"/>
      </rPr>
      <t>(mehmonxona yoki turar joy ijarasi) xarajatlar</t>
    </r>
  </si>
  <si>
    <r>
      <t xml:space="preserve">Xizmat safarining davomiylik muddati
</t>
    </r>
    <r>
      <rPr>
        <i/>
        <sz val="12"/>
        <color theme="1"/>
        <rFont val="Times New Roman"/>
        <family val="1"/>
        <charset val="204"/>
      </rPr>
      <t>(sutkada)</t>
    </r>
  </si>
  <si>
    <t>T/r</t>
  </si>
  <si>
    <t>Jumladan</t>
  </si>
  <si>
    <t xml:space="preserve">O'zbekiston Respublikasi Maktabgacha va maktab vazirligining 2-chorak xizmat safari xarajatlari to'g'risida </t>
  </si>
  <si>
    <t>Navoiy viloyati</t>
  </si>
  <si>
    <t>Surxondaryo viloyati</t>
  </si>
  <si>
    <t>Qashqadaryo viloyati</t>
  </si>
  <si>
    <t>Andijon viloyati
Farg'ona viloyati</t>
  </si>
  <si>
    <t>Surxondaryo viloyati
Qashqadaryo viloyati</t>
  </si>
  <si>
    <t>Mirxodiyev Xurshid To'lqinovich</t>
  </si>
  <si>
    <t>Yuldashev Abdumalik Mardiyevich</t>
  </si>
  <si>
    <t>Kuchkarova Nargiza Sharafjanovna</t>
  </si>
  <si>
    <t>Aminov Baxromjon Erkinovich</t>
  </si>
  <si>
    <t>To'rayev Ro'zibek Ochilovich</t>
  </si>
  <si>
    <t>Kushnazarov Faridun Isakulovich</t>
  </si>
  <si>
    <t>Xusanov Xasanjon Xusanxo'ja o'g'li</t>
  </si>
  <si>
    <t>Ochilov Alijon Muxlisovich</t>
  </si>
  <si>
    <t>Xoldarova Indira Abdukarimovna</t>
  </si>
  <si>
    <t>G'aniyev Dilyorbek Xolmirzayevich</t>
  </si>
  <si>
    <t>Pardayev Nuriddin Shukrullayevich</t>
  </si>
  <si>
    <t>Musurmonov Rabbim Nurmaxamatovich</t>
  </si>
  <si>
    <t>Hududlar</t>
  </si>
  <si>
    <t>Sobirova Dilfuza Azimdjonovna</t>
  </si>
  <si>
    <t>Mamadaliyev Abdukamol Abduraximovich</t>
  </si>
  <si>
    <t>Jurayev Asqarali Alisherjon o'g'li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</si>
</sst>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164" fontId="6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7"/>
  <sheetViews>
    <sheetView tabSelected="1" zoomScale="130" zoomScaleNormal="13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G137" sqref="G137"/>
    </sheetView>
  </sheetViews>
  <sheetFormatPr defaultRowHeight="15" x14ac:dyDescent="0.25"/>
  <cols>
    <col min="1" max="1" width="4.7109375" style="17" customWidth="1"/>
    <col min="2" max="2" width="11.42578125" style="9" customWidth="1"/>
    <col min="3" max="3" width="15.85546875" style="6" customWidth="1"/>
    <col min="4" max="4" width="12.42578125" style="2" customWidth="1"/>
    <col min="5" max="5" width="32.140625" style="2" bestFit="1" customWidth="1"/>
    <col min="6" max="6" width="20.5703125" style="2" customWidth="1"/>
    <col min="7" max="7" width="15.5703125" style="9" bestFit="1" customWidth="1"/>
    <col min="8" max="8" width="17.85546875" style="9" customWidth="1"/>
    <col min="9" max="9" width="14.85546875" style="2" customWidth="1"/>
    <col min="10" max="10" width="11.7109375" style="2" customWidth="1"/>
    <col min="11" max="11" width="13.85546875" bestFit="1" customWidth="1"/>
  </cols>
  <sheetData>
    <row r="1" spans="1:14" s="11" customFormat="1" ht="20.25" x14ac:dyDescent="0.3">
      <c r="A1" s="36" t="s">
        <v>54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ht="20.25" x14ac:dyDescent="0.3">
      <c r="A2" s="36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4" ht="15.75" thickBot="1" x14ac:dyDescent="0.3"/>
    <row r="4" spans="1:14" ht="15.75" x14ac:dyDescent="0.25">
      <c r="A4" s="39" t="s">
        <v>52</v>
      </c>
      <c r="B4" s="51" t="s">
        <v>45</v>
      </c>
      <c r="C4" s="41" t="s">
        <v>46</v>
      </c>
      <c r="D4" s="41" t="s">
        <v>51</v>
      </c>
      <c r="E4" s="41" t="s">
        <v>47</v>
      </c>
      <c r="F4" s="41" t="s">
        <v>3</v>
      </c>
      <c r="G4" s="37" t="s">
        <v>0</v>
      </c>
      <c r="H4" s="43" t="s">
        <v>53</v>
      </c>
      <c r="I4" s="44"/>
      <c r="J4" s="44"/>
      <c r="K4" s="45"/>
      <c r="L4" s="11"/>
    </row>
    <row r="5" spans="1:14" ht="92.25" customHeight="1" x14ac:dyDescent="0.25">
      <c r="A5" s="40"/>
      <c r="B5" s="52"/>
      <c r="C5" s="42"/>
      <c r="D5" s="38"/>
      <c r="E5" s="42"/>
      <c r="F5" s="38"/>
      <c r="G5" s="38"/>
      <c r="H5" s="21" t="s">
        <v>50</v>
      </c>
      <c r="I5" s="21" t="s">
        <v>48</v>
      </c>
      <c r="J5" s="21" t="s">
        <v>1</v>
      </c>
      <c r="K5" s="22" t="s">
        <v>2</v>
      </c>
      <c r="L5" s="11"/>
      <c r="M5" s="3"/>
    </row>
    <row r="6" spans="1:14" s="4" customFormat="1" ht="15.75" x14ac:dyDescent="0.25">
      <c r="A6" s="27">
        <v>1</v>
      </c>
      <c r="B6" s="16" t="s">
        <v>49</v>
      </c>
      <c r="C6" s="15" t="s">
        <v>33</v>
      </c>
      <c r="D6" s="14">
        <v>1</v>
      </c>
      <c r="E6" s="30" t="s">
        <v>17</v>
      </c>
      <c r="F6" s="14" t="s">
        <v>6</v>
      </c>
      <c r="G6" s="10">
        <f>+H6+I6+J6+K6</f>
        <v>3563482</v>
      </c>
      <c r="H6" s="7"/>
      <c r="I6" s="7">
        <v>3529482</v>
      </c>
      <c r="J6" s="7">
        <v>34000</v>
      </c>
      <c r="K6" s="8"/>
      <c r="L6" s="11"/>
      <c r="M6" s="5"/>
    </row>
    <row r="7" spans="1:14" s="4" customFormat="1" ht="15.75" x14ac:dyDescent="0.25">
      <c r="A7" s="28"/>
      <c r="B7" s="16" t="s">
        <v>49</v>
      </c>
      <c r="C7" s="15" t="s">
        <v>33</v>
      </c>
      <c r="D7" s="14">
        <v>3</v>
      </c>
      <c r="E7" s="31"/>
      <c r="F7" s="14" t="s">
        <v>4</v>
      </c>
      <c r="G7" s="10">
        <f t="shared" ref="G7:G108" si="0">+H7+I7+J7+K7</f>
        <v>2142000</v>
      </c>
      <c r="H7" s="7">
        <v>2040000</v>
      </c>
      <c r="I7" s="7"/>
      <c r="J7" s="7">
        <v>102000</v>
      </c>
      <c r="K7" s="8"/>
      <c r="L7" s="11"/>
      <c r="M7" s="5"/>
    </row>
    <row r="8" spans="1:14" s="4" customFormat="1" ht="15.75" x14ac:dyDescent="0.25">
      <c r="A8" s="28"/>
      <c r="B8" s="16" t="s">
        <v>49</v>
      </c>
      <c r="C8" s="19" t="s">
        <v>34</v>
      </c>
      <c r="D8" s="24">
        <v>1</v>
      </c>
      <c r="E8" s="31"/>
      <c r="F8" s="20" t="s">
        <v>6</v>
      </c>
      <c r="G8" s="10">
        <f t="shared" si="0"/>
        <v>826000</v>
      </c>
      <c r="H8" s="7"/>
      <c r="I8" s="7">
        <f>396000+396000</f>
        <v>792000</v>
      </c>
      <c r="J8" s="7">
        <v>34000</v>
      </c>
      <c r="K8" s="8"/>
      <c r="L8" s="11"/>
      <c r="M8" s="5"/>
    </row>
    <row r="9" spans="1:14" s="4" customFormat="1" ht="15.75" x14ac:dyDescent="0.25">
      <c r="A9" s="28"/>
      <c r="B9" s="16" t="s">
        <v>49</v>
      </c>
      <c r="C9" s="19" t="s">
        <v>32</v>
      </c>
      <c r="D9" s="24">
        <v>2</v>
      </c>
      <c r="E9" s="31"/>
      <c r="F9" s="20" t="s">
        <v>4</v>
      </c>
      <c r="G9" s="10">
        <f t="shared" si="0"/>
        <v>485986</v>
      </c>
      <c r="H9" s="7"/>
      <c r="I9" s="7">
        <v>417986</v>
      </c>
      <c r="J9" s="7">
        <v>68000</v>
      </c>
      <c r="K9" s="8"/>
      <c r="L9" s="11"/>
      <c r="M9" s="5"/>
    </row>
    <row r="10" spans="1:14" s="4" customFormat="1" ht="15.75" x14ac:dyDescent="0.25">
      <c r="A10" s="29"/>
      <c r="B10" s="16" t="s">
        <v>49</v>
      </c>
      <c r="C10" s="19" t="s">
        <v>35</v>
      </c>
      <c r="D10" s="24">
        <v>2</v>
      </c>
      <c r="E10" s="31"/>
      <c r="F10" s="20" t="s">
        <v>6</v>
      </c>
      <c r="G10" s="10">
        <f t="shared" si="0"/>
        <v>1811229</v>
      </c>
      <c r="H10" s="7">
        <v>1020000</v>
      </c>
      <c r="I10" s="7">
        <v>723229</v>
      </c>
      <c r="J10" s="7">
        <v>68000</v>
      </c>
      <c r="K10" s="8"/>
      <c r="L10" s="11"/>
      <c r="M10" s="5"/>
    </row>
    <row r="11" spans="1:14" s="4" customFormat="1" ht="15.75" x14ac:dyDescent="0.25">
      <c r="A11" s="26"/>
      <c r="B11" s="16" t="s">
        <v>49</v>
      </c>
      <c r="C11" s="19" t="s">
        <v>34</v>
      </c>
      <c r="D11" s="24">
        <v>1</v>
      </c>
      <c r="E11" s="32"/>
      <c r="F11" s="23" t="s">
        <v>6</v>
      </c>
      <c r="G11" s="10">
        <f t="shared" si="0"/>
        <v>529000</v>
      </c>
      <c r="H11" s="7"/>
      <c r="I11" s="7">
        <v>495000</v>
      </c>
      <c r="J11" s="7">
        <v>34000</v>
      </c>
      <c r="K11" s="8"/>
      <c r="L11" s="11"/>
      <c r="M11" s="5"/>
    </row>
    <row r="12" spans="1:14" x14ac:dyDescent="0.25">
      <c r="A12" s="27">
        <v>2</v>
      </c>
      <c r="B12" s="16" t="s">
        <v>49</v>
      </c>
      <c r="C12" s="15" t="s">
        <v>35</v>
      </c>
      <c r="D12" s="14">
        <v>1</v>
      </c>
      <c r="E12" s="30" t="s">
        <v>15</v>
      </c>
      <c r="F12" s="14" t="s">
        <v>6</v>
      </c>
      <c r="G12" s="10">
        <f t="shared" si="0"/>
        <v>1172000</v>
      </c>
      <c r="H12" s="7"/>
      <c r="I12" s="7">
        <f>462000+680000</f>
        <v>1142000</v>
      </c>
      <c r="J12" s="7">
        <v>30000</v>
      </c>
      <c r="K12" s="8"/>
      <c r="L12" s="1"/>
      <c r="M12" s="1"/>
      <c r="N12" s="1"/>
    </row>
    <row r="13" spans="1:14" x14ac:dyDescent="0.25">
      <c r="A13" s="28"/>
      <c r="B13" s="16" t="s">
        <v>49</v>
      </c>
      <c r="C13" s="15" t="s">
        <v>30</v>
      </c>
      <c r="D13" s="14">
        <v>2</v>
      </c>
      <c r="E13" s="31"/>
      <c r="F13" s="14" t="s">
        <v>6</v>
      </c>
      <c r="G13" s="10">
        <f t="shared" si="0"/>
        <v>904000</v>
      </c>
      <c r="H13" s="7">
        <v>600000</v>
      </c>
      <c r="I13" s="7">
        <f>119000+119000</f>
        <v>238000</v>
      </c>
      <c r="J13" s="7">
        <v>66000</v>
      </c>
      <c r="K13" s="8"/>
      <c r="L13" s="1"/>
      <c r="M13" s="1"/>
      <c r="N13" s="1"/>
    </row>
    <row r="14" spans="1:14" x14ac:dyDescent="0.25">
      <c r="A14" s="28"/>
      <c r="B14" s="16" t="s">
        <v>49</v>
      </c>
      <c r="C14" s="15" t="s">
        <v>33</v>
      </c>
      <c r="D14" s="14">
        <v>5</v>
      </c>
      <c r="E14" s="31"/>
      <c r="F14" s="14" t="s">
        <v>6</v>
      </c>
      <c r="G14" s="10">
        <f t="shared" si="0"/>
        <v>4168000</v>
      </c>
      <c r="H14" s="7">
        <v>1760000</v>
      </c>
      <c r="I14" s="7">
        <f>670000+1588000</f>
        <v>2258000</v>
      </c>
      <c r="J14" s="7">
        <v>150000</v>
      </c>
      <c r="K14" s="8"/>
      <c r="L14" s="1"/>
      <c r="M14" s="1"/>
      <c r="N14" s="1"/>
    </row>
    <row r="15" spans="1:14" x14ac:dyDescent="0.25">
      <c r="A15" s="28"/>
      <c r="B15" s="16" t="s">
        <v>49</v>
      </c>
      <c r="C15" s="15" t="s">
        <v>34</v>
      </c>
      <c r="D15" s="14">
        <v>1</v>
      </c>
      <c r="E15" s="31"/>
      <c r="F15" s="14" t="s">
        <v>4</v>
      </c>
      <c r="G15" s="10">
        <f t="shared" si="0"/>
        <v>699000</v>
      </c>
      <c r="H15" s="7"/>
      <c r="I15" s="7">
        <f>276000+393000</f>
        <v>669000</v>
      </c>
      <c r="J15" s="7">
        <v>30000</v>
      </c>
      <c r="K15" s="8"/>
      <c r="L15" s="1"/>
      <c r="M15" s="1"/>
      <c r="N15" s="1"/>
    </row>
    <row r="16" spans="1:14" x14ac:dyDescent="0.25">
      <c r="A16" s="28"/>
      <c r="B16" s="16" t="s">
        <v>49</v>
      </c>
      <c r="C16" s="15" t="s">
        <v>31</v>
      </c>
      <c r="D16" s="14">
        <v>2</v>
      </c>
      <c r="E16" s="31"/>
      <c r="F16" s="14" t="s">
        <v>4</v>
      </c>
      <c r="G16" s="10">
        <f t="shared" si="0"/>
        <v>1208000</v>
      </c>
      <c r="H16" s="7">
        <v>680000</v>
      </c>
      <c r="I16" s="7">
        <f>269000+191000</f>
        <v>460000</v>
      </c>
      <c r="J16" s="7">
        <v>68000</v>
      </c>
      <c r="K16" s="8"/>
      <c r="L16" s="1"/>
      <c r="M16" s="1"/>
      <c r="N16" s="1"/>
    </row>
    <row r="17" spans="1:14" x14ac:dyDescent="0.25">
      <c r="A17" s="28"/>
      <c r="B17" s="16" t="s">
        <v>49</v>
      </c>
      <c r="C17" s="19" t="s">
        <v>31</v>
      </c>
      <c r="D17" s="20">
        <v>2</v>
      </c>
      <c r="E17" s="31"/>
      <c r="F17" s="20" t="s">
        <v>4</v>
      </c>
      <c r="G17" s="10">
        <f t="shared" si="0"/>
        <v>1976000</v>
      </c>
      <c r="H17" s="7">
        <v>1200000</v>
      </c>
      <c r="I17" s="7">
        <f>354000+354000</f>
        <v>708000</v>
      </c>
      <c r="J17" s="7">
        <v>68000</v>
      </c>
      <c r="K17" s="8"/>
      <c r="L17" s="1"/>
      <c r="M17" s="1"/>
      <c r="N17" s="1"/>
    </row>
    <row r="18" spans="1:14" x14ac:dyDescent="0.25">
      <c r="A18" s="28"/>
      <c r="B18" s="16" t="s">
        <v>49</v>
      </c>
      <c r="C18" s="19" t="s">
        <v>35</v>
      </c>
      <c r="D18" s="20">
        <v>4</v>
      </c>
      <c r="E18" s="31"/>
      <c r="F18" s="20" t="s">
        <v>6</v>
      </c>
      <c r="G18" s="10">
        <f t="shared" si="0"/>
        <v>1773000</v>
      </c>
      <c r="H18" s="7">
        <v>625000</v>
      </c>
      <c r="I18" s="7">
        <f>550000+462000</f>
        <v>1012000</v>
      </c>
      <c r="J18" s="7">
        <v>136000</v>
      </c>
      <c r="K18" s="8"/>
      <c r="L18" s="1"/>
      <c r="M18" s="1"/>
      <c r="N18" s="1"/>
    </row>
    <row r="19" spans="1:14" x14ac:dyDescent="0.25">
      <c r="A19" s="28"/>
      <c r="B19" s="16" t="s">
        <v>49</v>
      </c>
      <c r="C19" s="19" t="s">
        <v>32</v>
      </c>
      <c r="D19" s="20">
        <v>1</v>
      </c>
      <c r="E19" s="31"/>
      <c r="F19" s="20" t="s">
        <v>4</v>
      </c>
      <c r="G19" s="10">
        <f t="shared" si="0"/>
        <v>1064000</v>
      </c>
      <c r="H19" s="7"/>
      <c r="I19" s="7">
        <f>412000+618000</f>
        <v>1030000</v>
      </c>
      <c r="J19" s="7">
        <v>34000</v>
      </c>
      <c r="K19" s="8"/>
      <c r="L19" s="1"/>
      <c r="M19" s="1"/>
      <c r="N19" s="1"/>
    </row>
    <row r="20" spans="1:14" x14ac:dyDescent="0.25">
      <c r="A20" s="28"/>
      <c r="B20" s="16" t="s">
        <v>49</v>
      </c>
      <c r="C20" s="19" t="s">
        <v>55</v>
      </c>
      <c r="D20" s="20">
        <v>2</v>
      </c>
      <c r="E20" s="31"/>
      <c r="F20" s="20" t="s">
        <v>6</v>
      </c>
      <c r="G20" s="10">
        <f t="shared" si="0"/>
        <v>1516805</v>
      </c>
      <c r="H20" s="7">
        <v>680000</v>
      </c>
      <c r="I20" s="7">
        <f>282000+486805</f>
        <v>768805</v>
      </c>
      <c r="J20" s="7">
        <v>68000</v>
      </c>
      <c r="K20" s="8"/>
      <c r="L20" s="1"/>
      <c r="M20" s="1"/>
      <c r="N20" s="1"/>
    </row>
    <row r="21" spans="1:14" ht="25.5" x14ac:dyDescent="0.25">
      <c r="A21" s="29"/>
      <c r="B21" s="16" t="s">
        <v>49</v>
      </c>
      <c r="C21" s="19" t="s">
        <v>37</v>
      </c>
      <c r="D21" s="20">
        <v>1</v>
      </c>
      <c r="E21" s="31"/>
      <c r="F21" s="20" t="s">
        <v>6</v>
      </c>
      <c r="G21" s="10">
        <f t="shared" si="0"/>
        <v>1665694</v>
      </c>
      <c r="H21" s="7"/>
      <c r="I21" s="7">
        <v>1631694</v>
      </c>
      <c r="J21" s="7">
        <v>34000</v>
      </c>
      <c r="K21" s="8"/>
      <c r="L21" s="1"/>
      <c r="M21" s="1"/>
      <c r="N21" s="1"/>
    </row>
    <row r="22" spans="1:14" x14ac:dyDescent="0.25">
      <c r="A22" s="26"/>
      <c r="B22" s="16" t="s">
        <v>49</v>
      </c>
      <c r="C22" s="19" t="s">
        <v>35</v>
      </c>
      <c r="D22" s="23">
        <v>2</v>
      </c>
      <c r="E22" s="32"/>
      <c r="F22" s="23" t="s">
        <v>6</v>
      </c>
      <c r="G22" s="10">
        <f t="shared" si="0"/>
        <v>1349000</v>
      </c>
      <c r="H22" s="7">
        <v>680000</v>
      </c>
      <c r="I22" s="7">
        <v>601000</v>
      </c>
      <c r="J22" s="7">
        <v>68000</v>
      </c>
      <c r="K22" s="8"/>
      <c r="L22" s="1"/>
      <c r="M22" s="1"/>
      <c r="N22" s="1"/>
    </row>
    <row r="23" spans="1:14" x14ac:dyDescent="0.25">
      <c r="A23" s="27">
        <v>3</v>
      </c>
      <c r="B23" s="16" t="s">
        <v>49</v>
      </c>
      <c r="C23" s="15" t="s">
        <v>33</v>
      </c>
      <c r="D23" s="14">
        <v>5</v>
      </c>
      <c r="E23" s="30" t="s">
        <v>28</v>
      </c>
      <c r="F23" s="14" t="s">
        <v>4</v>
      </c>
      <c r="G23" s="10">
        <f t="shared" si="0"/>
        <v>6734051</v>
      </c>
      <c r="H23" s="7">
        <v>4500000</v>
      </c>
      <c r="I23" s="7">
        <f>1154530+909521</f>
        <v>2064051</v>
      </c>
      <c r="J23" s="7">
        <v>170000</v>
      </c>
      <c r="K23" s="8"/>
      <c r="L23" s="1"/>
      <c r="M23" s="1"/>
      <c r="N23" s="1"/>
    </row>
    <row r="24" spans="1:14" x14ac:dyDescent="0.25">
      <c r="A24" s="28"/>
      <c r="B24" s="16" t="s">
        <v>49</v>
      </c>
      <c r="C24" s="19" t="s">
        <v>31</v>
      </c>
      <c r="D24" s="20">
        <v>2</v>
      </c>
      <c r="E24" s="31"/>
      <c r="F24" s="20" t="s">
        <v>4</v>
      </c>
      <c r="G24" s="10">
        <f t="shared" si="0"/>
        <v>728000</v>
      </c>
      <c r="H24" s="7">
        <v>660000</v>
      </c>
      <c r="I24" s="7"/>
      <c r="J24" s="7">
        <v>68000</v>
      </c>
      <c r="K24" s="8"/>
      <c r="L24" s="1"/>
      <c r="M24" s="1"/>
      <c r="N24" s="1"/>
    </row>
    <row r="25" spans="1:14" ht="25.5" x14ac:dyDescent="0.25">
      <c r="A25" s="28"/>
      <c r="B25" s="16" t="s">
        <v>49</v>
      </c>
      <c r="C25" s="19" t="s">
        <v>56</v>
      </c>
      <c r="D25" s="20">
        <v>2</v>
      </c>
      <c r="E25" s="31"/>
      <c r="F25" s="20" t="s">
        <v>6</v>
      </c>
      <c r="G25" s="10">
        <f t="shared" si="0"/>
        <v>2103708</v>
      </c>
      <c r="H25" s="7">
        <v>480000</v>
      </c>
      <c r="I25" s="7">
        <v>1555708</v>
      </c>
      <c r="J25" s="7">
        <v>68000</v>
      </c>
      <c r="K25" s="8"/>
      <c r="L25" s="1"/>
      <c r="M25" s="1"/>
      <c r="N25" s="1"/>
    </row>
    <row r="26" spans="1:14" x14ac:dyDescent="0.25">
      <c r="A26" s="28"/>
      <c r="B26" s="16" t="s">
        <v>49</v>
      </c>
      <c r="C26" s="19" t="s">
        <v>34</v>
      </c>
      <c r="D26" s="20">
        <v>3</v>
      </c>
      <c r="E26" s="31"/>
      <c r="F26" s="20" t="s">
        <v>6</v>
      </c>
      <c r="G26" s="10">
        <f t="shared" si="0"/>
        <v>1462000</v>
      </c>
      <c r="H26" s="7">
        <v>1360000</v>
      </c>
      <c r="I26" s="7"/>
      <c r="J26" s="7">
        <v>102000</v>
      </c>
      <c r="K26" s="8"/>
      <c r="L26" s="1"/>
      <c r="M26" s="1"/>
      <c r="N26" s="1"/>
    </row>
    <row r="27" spans="1:14" ht="25.5" x14ac:dyDescent="0.25">
      <c r="A27" s="28"/>
      <c r="B27" s="16" t="s">
        <v>49</v>
      </c>
      <c r="C27" s="19" t="s">
        <v>37</v>
      </c>
      <c r="D27" s="20">
        <v>1</v>
      </c>
      <c r="E27" s="31"/>
      <c r="F27" s="20" t="s">
        <v>6</v>
      </c>
      <c r="G27" s="10">
        <f t="shared" si="0"/>
        <v>2435894</v>
      </c>
      <c r="H27" s="7">
        <v>500000</v>
      </c>
      <c r="I27" s="7">
        <f>1061202+840692</f>
        <v>1901894</v>
      </c>
      <c r="J27" s="7">
        <v>34000</v>
      </c>
      <c r="K27" s="8"/>
      <c r="L27" s="1"/>
      <c r="M27" s="1"/>
      <c r="N27" s="1"/>
    </row>
    <row r="28" spans="1:14" x14ac:dyDescent="0.25">
      <c r="A28" s="28"/>
      <c r="B28" s="16" t="s">
        <v>49</v>
      </c>
      <c r="C28" s="19" t="s">
        <v>31</v>
      </c>
      <c r="D28" s="20">
        <v>2</v>
      </c>
      <c r="E28" s="31"/>
      <c r="F28" s="20" t="s">
        <v>6</v>
      </c>
      <c r="G28" s="10">
        <f t="shared" si="0"/>
        <v>748000</v>
      </c>
      <c r="H28" s="7">
        <v>680000</v>
      </c>
      <c r="I28" s="7"/>
      <c r="J28" s="7">
        <v>68000</v>
      </c>
      <c r="K28" s="8"/>
      <c r="L28" s="1"/>
      <c r="M28" s="1"/>
      <c r="N28" s="1"/>
    </row>
    <row r="29" spans="1:14" x14ac:dyDescent="0.25">
      <c r="A29" s="29"/>
      <c r="B29" s="16" t="s">
        <v>49</v>
      </c>
      <c r="C29" s="19" t="s">
        <v>35</v>
      </c>
      <c r="D29" s="20">
        <v>4</v>
      </c>
      <c r="E29" s="32"/>
      <c r="F29" s="20" t="s">
        <v>6</v>
      </c>
      <c r="G29" s="10">
        <f t="shared" si="0"/>
        <v>3505363</v>
      </c>
      <c r="H29" s="7">
        <v>2040000</v>
      </c>
      <c r="I29" s="7">
        <f>701653+627710</f>
        <v>1329363</v>
      </c>
      <c r="J29" s="7">
        <v>136000</v>
      </c>
      <c r="K29" s="8"/>
      <c r="L29" s="1"/>
      <c r="M29" s="1"/>
      <c r="N29" s="1"/>
    </row>
    <row r="30" spans="1:14" ht="25.5" x14ac:dyDescent="0.25">
      <c r="A30" s="27">
        <v>4</v>
      </c>
      <c r="B30" s="16" t="s">
        <v>49</v>
      </c>
      <c r="C30" s="15" t="s">
        <v>36</v>
      </c>
      <c r="D30" s="14">
        <v>3</v>
      </c>
      <c r="E30" s="30" t="s">
        <v>16</v>
      </c>
      <c r="F30" s="14" t="s">
        <v>4</v>
      </c>
      <c r="G30" s="10">
        <f t="shared" si="0"/>
        <v>2976611</v>
      </c>
      <c r="H30" s="7">
        <v>1400000</v>
      </c>
      <c r="I30" s="7">
        <f>805373+484958+184280</f>
        <v>1474611</v>
      </c>
      <c r="J30" s="7">
        <v>102000</v>
      </c>
      <c r="K30" s="8"/>
      <c r="L30" s="1"/>
      <c r="M30" s="1"/>
      <c r="N30" s="1"/>
    </row>
    <row r="31" spans="1:14" ht="25.5" x14ac:dyDescent="0.25">
      <c r="A31" s="29"/>
      <c r="B31" s="16" t="s">
        <v>49</v>
      </c>
      <c r="C31" s="19" t="s">
        <v>37</v>
      </c>
      <c r="D31" s="20">
        <v>2</v>
      </c>
      <c r="E31" s="32"/>
      <c r="F31" s="20" t="s">
        <v>6</v>
      </c>
      <c r="G31" s="10">
        <f t="shared" si="0"/>
        <v>2444357</v>
      </c>
      <c r="H31" s="7">
        <v>450000</v>
      </c>
      <c r="I31" s="7">
        <f>894380+1031977</f>
        <v>1926357</v>
      </c>
      <c r="J31" s="7">
        <v>68000</v>
      </c>
      <c r="K31" s="8"/>
      <c r="L31" s="1"/>
      <c r="M31" s="1"/>
      <c r="N31" s="1"/>
    </row>
    <row r="32" spans="1:14" x14ac:dyDescent="0.25">
      <c r="A32" s="27">
        <v>5</v>
      </c>
      <c r="B32" s="16" t="s">
        <v>49</v>
      </c>
      <c r="C32" s="15" t="s">
        <v>33</v>
      </c>
      <c r="D32" s="14">
        <v>3</v>
      </c>
      <c r="E32" s="30" t="s">
        <v>13</v>
      </c>
      <c r="F32" s="14" t="s">
        <v>4</v>
      </c>
      <c r="G32" s="10">
        <f t="shared" si="0"/>
        <v>2371658</v>
      </c>
      <c r="H32" s="7">
        <v>660000</v>
      </c>
      <c r="I32" s="7">
        <v>1609658</v>
      </c>
      <c r="J32" s="7">
        <v>102000</v>
      </c>
      <c r="K32" s="8"/>
      <c r="L32" s="1"/>
      <c r="M32" s="1"/>
      <c r="N32" s="1"/>
    </row>
    <row r="33" spans="1:14" ht="51" customHeight="1" x14ac:dyDescent="0.25">
      <c r="A33" s="28"/>
      <c r="B33" s="16" t="s">
        <v>49</v>
      </c>
      <c r="C33" s="15" t="s">
        <v>8</v>
      </c>
      <c r="D33" s="14">
        <v>3</v>
      </c>
      <c r="E33" s="31"/>
      <c r="F33" s="14" t="s">
        <v>4</v>
      </c>
      <c r="G33" s="10">
        <f t="shared" si="0"/>
        <v>602000</v>
      </c>
      <c r="H33" s="7">
        <v>500000</v>
      </c>
      <c r="I33" s="7"/>
      <c r="J33" s="7">
        <v>102000</v>
      </c>
      <c r="K33" s="8"/>
      <c r="L33" s="1"/>
      <c r="M33" s="1"/>
      <c r="N33" s="1"/>
    </row>
    <row r="34" spans="1:14" x14ac:dyDescent="0.25">
      <c r="A34" s="28"/>
      <c r="B34" s="16" t="s">
        <v>49</v>
      </c>
      <c r="C34" s="15" t="s">
        <v>34</v>
      </c>
      <c r="D34" s="14">
        <v>2</v>
      </c>
      <c r="E34" s="31"/>
      <c r="F34" s="14" t="s">
        <v>4</v>
      </c>
      <c r="G34" s="10">
        <f t="shared" si="0"/>
        <v>518000</v>
      </c>
      <c r="H34" s="7">
        <v>450000</v>
      </c>
      <c r="I34" s="7"/>
      <c r="J34" s="7">
        <v>68000</v>
      </c>
      <c r="K34" s="8"/>
      <c r="L34" s="1"/>
      <c r="M34" s="1"/>
      <c r="N34" s="1"/>
    </row>
    <row r="35" spans="1:14" ht="25.5" x14ac:dyDescent="0.25">
      <c r="A35" s="28"/>
      <c r="B35" s="16" t="s">
        <v>49</v>
      </c>
      <c r="C35" s="19" t="s">
        <v>57</v>
      </c>
      <c r="D35" s="20">
        <v>4</v>
      </c>
      <c r="E35" s="31"/>
      <c r="F35" s="20" t="s">
        <v>6</v>
      </c>
      <c r="G35" s="10">
        <f>+H35+I35+J35+K35</f>
        <v>2510751</v>
      </c>
      <c r="H35" s="7">
        <v>1599000</v>
      </c>
      <c r="I35" s="7">
        <f>357751+418000</f>
        <v>775751</v>
      </c>
      <c r="J35" s="7">
        <v>136000</v>
      </c>
      <c r="K35" s="8"/>
      <c r="L35" s="1"/>
      <c r="M35" s="1"/>
      <c r="N35" s="1"/>
    </row>
    <row r="36" spans="1:14" x14ac:dyDescent="0.25">
      <c r="A36" s="28"/>
      <c r="B36" s="16" t="s">
        <v>49</v>
      </c>
      <c r="C36" s="19" t="s">
        <v>35</v>
      </c>
      <c r="D36" s="20">
        <v>1</v>
      </c>
      <c r="E36" s="31"/>
      <c r="F36" s="20" t="s">
        <v>6</v>
      </c>
      <c r="G36" s="10">
        <f t="shared" si="0"/>
        <v>1456577</v>
      </c>
      <c r="H36" s="7"/>
      <c r="I36" s="7">
        <f>635000+787577</f>
        <v>1422577</v>
      </c>
      <c r="J36" s="7">
        <v>34000</v>
      </c>
      <c r="K36" s="8"/>
      <c r="L36" s="1"/>
      <c r="M36" s="1"/>
      <c r="N36" s="1"/>
    </row>
    <row r="37" spans="1:14" ht="25.5" x14ac:dyDescent="0.25">
      <c r="A37" s="28"/>
      <c r="B37" s="16" t="s">
        <v>49</v>
      </c>
      <c r="C37" s="19" t="s">
        <v>57</v>
      </c>
      <c r="D37" s="20">
        <v>2</v>
      </c>
      <c r="E37" s="31"/>
      <c r="F37" s="20" t="s">
        <v>6</v>
      </c>
      <c r="G37" s="10">
        <f t="shared" si="0"/>
        <v>1740111</v>
      </c>
      <c r="H37" s="7">
        <v>680000</v>
      </c>
      <c r="I37" s="7">
        <v>992111</v>
      </c>
      <c r="J37" s="7">
        <v>68000</v>
      </c>
      <c r="K37" s="8"/>
      <c r="L37" s="1"/>
      <c r="M37" s="1"/>
      <c r="N37" s="1"/>
    </row>
    <row r="38" spans="1:14" x14ac:dyDescent="0.25">
      <c r="A38" s="28"/>
      <c r="B38" s="16" t="s">
        <v>49</v>
      </c>
      <c r="C38" s="19" t="s">
        <v>35</v>
      </c>
      <c r="D38" s="20">
        <v>2</v>
      </c>
      <c r="E38" s="31"/>
      <c r="F38" s="20" t="s">
        <v>6</v>
      </c>
      <c r="G38" s="10">
        <f t="shared" si="0"/>
        <v>2263246</v>
      </c>
      <c r="H38" s="7">
        <v>680000</v>
      </c>
      <c r="I38" s="7">
        <f>730024+785222</f>
        <v>1515246</v>
      </c>
      <c r="J38" s="7">
        <v>68000</v>
      </c>
      <c r="K38" s="8"/>
      <c r="L38" s="1"/>
      <c r="M38" s="1"/>
      <c r="N38" s="1"/>
    </row>
    <row r="39" spans="1:14" ht="25.5" x14ac:dyDescent="0.25">
      <c r="A39" s="29"/>
      <c r="B39" s="16" t="s">
        <v>49</v>
      </c>
      <c r="C39" s="19" t="s">
        <v>37</v>
      </c>
      <c r="D39" s="20">
        <v>2</v>
      </c>
      <c r="E39" s="32"/>
      <c r="F39" s="20" t="s">
        <v>6</v>
      </c>
      <c r="G39" s="10">
        <f t="shared" si="0"/>
        <v>2488199</v>
      </c>
      <c r="H39" s="7">
        <v>450000</v>
      </c>
      <c r="I39" s="7">
        <f>998594+971605</f>
        <v>1970199</v>
      </c>
      <c r="J39" s="7">
        <v>68000</v>
      </c>
      <c r="K39" s="8"/>
      <c r="L39" s="1"/>
      <c r="M39" s="1"/>
      <c r="N39" s="1"/>
    </row>
    <row r="40" spans="1:14" x14ac:dyDescent="0.25">
      <c r="A40" s="27">
        <v>6</v>
      </c>
      <c r="B40" s="16" t="s">
        <v>49</v>
      </c>
      <c r="C40" s="15" t="s">
        <v>30</v>
      </c>
      <c r="D40" s="14">
        <v>6</v>
      </c>
      <c r="E40" s="30" t="s">
        <v>14</v>
      </c>
      <c r="F40" s="14" t="s">
        <v>4</v>
      </c>
      <c r="G40" s="10">
        <f t="shared" si="0"/>
        <v>2048000</v>
      </c>
      <c r="H40" s="7">
        <v>1850000</v>
      </c>
      <c r="I40" s="7"/>
      <c r="J40" s="7">
        <f>132000+66000</f>
        <v>198000</v>
      </c>
      <c r="K40" s="8"/>
      <c r="L40" s="1"/>
      <c r="M40" s="1"/>
      <c r="N40" s="1"/>
    </row>
    <row r="41" spans="1:14" x14ac:dyDescent="0.25">
      <c r="A41" s="28"/>
      <c r="B41" s="16" t="s">
        <v>49</v>
      </c>
      <c r="C41" s="15" t="s">
        <v>33</v>
      </c>
      <c r="D41" s="14">
        <v>2</v>
      </c>
      <c r="E41" s="31"/>
      <c r="F41" s="14" t="s">
        <v>4</v>
      </c>
      <c r="G41" s="10">
        <f t="shared" si="0"/>
        <v>2142060</v>
      </c>
      <c r="H41" s="7">
        <v>300000</v>
      </c>
      <c r="I41" s="7">
        <f>887030+887030</f>
        <v>1774060</v>
      </c>
      <c r="J41" s="7">
        <v>68000</v>
      </c>
      <c r="K41" s="8"/>
      <c r="L41" s="1"/>
      <c r="M41" s="1"/>
      <c r="N41" s="1"/>
    </row>
    <row r="42" spans="1:14" x14ac:dyDescent="0.25">
      <c r="A42" s="28"/>
      <c r="B42" s="16" t="s">
        <v>49</v>
      </c>
      <c r="C42" s="15" t="s">
        <v>35</v>
      </c>
      <c r="D42" s="14">
        <v>3</v>
      </c>
      <c r="E42" s="31"/>
      <c r="F42" s="14" t="s">
        <v>4</v>
      </c>
      <c r="G42" s="10">
        <f t="shared" si="0"/>
        <v>1002000</v>
      </c>
      <c r="H42" s="7">
        <v>900000</v>
      </c>
      <c r="I42" s="7"/>
      <c r="J42" s="7">
        <v>102000</v>
      </c>
      <c r="K42" s="8"/>
      <c r="L42" s="1"/>
      <c r="M42" s="1"/>
      <c r="N42" s="1"/>
    </row>
    <row r="43" spans="1:14" x14ac:dyDescent="0.25">
      <c r="A43" s="28"/>
      <c r="B43" s="16" t="s">
        <v>49</v>
      </c>
      <c r="C43" s="15" t="s">
        <v>38</v>
      </c>
      <c r="D43" s="14">
        <v>2</v>
      </c>
      <c r="E43" s="31"/>
      <c r="F43" s="14" t="s">
        <v>4</v>
      </c>
      <c r="G43" s="10">
        <f t="shared" si="0"/>
        <v>618000</v>
      </c>
      <c r="H43" s="7">
        <v>550000</v>
      </c>
      <c r="I43" s="7"/>
      <c r="J43" s="7">
        <v>68000</v>
      </c>
      <c r="K43" s="8"/>
      <c r="L43" s="1"/>
      <c r="M43" s="1"/>
      <c r="N43" s="1"/>
    </row>
    <row r="44" spans="1:14" x14ac:dyDescent="0.25">
      <c r="A44" s="28"/>
      <c r="B44" s="16" t="s">
        <v>49</v>
      </c>
      <c r="C44" s="19" t="s">
        <v>38</v>
      </c>
      <c r="D44" s="20">
        <v>9</v>
      </c>
      <c r="E44" s="31"/>
      <c r="F44" s="20" t="s">
        <v>4</v>
      </c>
      <c r="G44" s="10">
        <f t="shared" si="0"/>
        <v>306000</v>
      </c>
      <c r="H44" s="7"/>
      <c r="I44" s="7"/>
      <c r="J44" s="7">
        <v>306000</v>
      </c>
      <c r="K44" s="8"/>
      <c r="L44" s="1"/>
      <c r="M44" s="1"/>
      <c r="N44" s="1"/>
    </row>
    <row r="45" spans="1:14" ht="25.5" x14ac:dyDescent="0.25">
      <c r="A45" s="28"/>
      <c r="B45" s="16" t="s">
        <v>49</v>
      </c>
      <c r="C45" s="19" t="s">
        <v>56</v>
      </c>
      <c r="D45" s="20">
        <v>1</v>
      </c>
      <c r="E45" s="31"/>
      <c r="F45" s="20" t="s">
        <v>4</v>
      </c>
      <c r="G45" s="10">
        <f t="shared" si="0"/>
        <v>1602600</v>
      </c>
      <c r="H45" s="7"/>
      <c r="I45" s="7">
        <v>1568600</v>
      </c>
      <c r="J45" s="7">
        <v>34000</v>
      </c>
      <c r="K45" s="8"/>
      <c r="L45" s="1"/>
      <c r="M45" s="1"/>
      <c r="N45" s="1"/>
    </row>
    <row r="46" spans="1:14" x14ac:dyDescent="0.25">
      <c r="A46" s="28"/>
      <c r="B46" s="16" t="s">
        <v>49</v>
      </c>
      <c r="C46" s="19" t="s">
        <v>32</v>
      </c>
      <c r="D46" s="20">
        <v>5</v>
      </c>
      <c r="E46" s="31"/>
      <c r="F46" s="20" t="s">
        <v>6</v>
      </c>
      <c r="G46" s="10">
        <f t="shared" si="0"/>
        <v>1850000</v>
      </c>
      <c r="H46" s="7">
        <v>1680000</v>
      </c>
      <c r="I46" s="7"/>
      <c r="J46" s="7">
        <v>170000</v>
      </c>
      <c r="K46" s="8"/>
      <c r="L46" s="1"/>
      <c r="M46" s="1"/>
      <c r="N46" s="1"/>
    </row>
    <row r="47" spans="1:14" x14ac:dyDescent="0.25">
      <c r="A47" s="29"/>
      <c r="B47" s="16" t="s">
        <v>49</v>
      </c>
      <c r="C47" s="19" t="s">
        <v>31</v>
      </c>
      <c r="D47" s="20">
        <v>3</v>
      </c>
      <c r="E47" s="32"/>
      <c r="F47" s="20" t="s">
        <v>6</v>
      </c>
      <c r="G47" s="10">
        <f t="shared" si="0"/>
        <v>902000</v>
      </c>
      <c r="H47" s="7">
        <v>800000</v>
      </c>
      <c r="I47" s="7"/>
      <c r="J47" s="7">
        <v>102000</v>
      </c>
      <c r="K47" s="8"/>
      <c r="L47" s="1"/>
      <c r="M47" s="1"/>
      <c r="N47" s="1"/>
    </row>
    <row r="48" spans="1:14" x14ac:dyDescent="0.25">
      <c r="A48" s="27">
        <v>7</v>
      </c>
      <c r="B48" s="16" t="s">
        <v>49</v>
      </c>
      <c r="C48" s="15" t="s">
        <v>30</v>
      </c>
      <c r="D48" s="14">
        <v>4</v>
      </c>
      <c r="E48" s="30" t="s">
        <v>19</v>
      </c>
      <c r="F48" s="14" t="s">
        <v>6</v>
      </c>
      <c r="G48" s="10">
        <f t="shared" si="0"/>
        <v>670403</v>
      </c>
      <c r="H48" s="7"/>
      <c r="I48" s="7">
        <v>534403</v>
      </c>
      <c r="J48" s="7">
        <v>136000</v>
      </c>
      <c r="K48" s="8"/>
      <c r="L48" s="1"/>
      <c r="M48" s="1"/>
      <c r="N48" s="1"/>
    </row>
    <row r="49" spans="1:14" x14ac:dyDescent="0.25">
      <c r="A49" s="28"/>
      <c r="B49" s="16" t="s">
        <v>49</v>
      </c>
      <c r="C49" s="15" t="s">
        <v>33</v>
      </c>
      <c r="D49" s="14">
        <v>1</v>
      </c>
      <c r="E49" s="31"/>
      <c r="F49" s="14" t="s">
        <v>6</v>
      </c>
      <c r="G49" s="10">
        <f t="shared" si="0"/>
        <v>1473000</v>
      </c>
      <c r="H49" s="7"/>
      <c r="I49" s="7">
        <v>1439000</v>
      </c>
      <c r="J49" s="7">
        <v>34000</v>
      </c>
      <c r="K49" s="8"/>
      <c r="L49" s="1"/>
      <c r="M49" s="1"/>
      <c r="N49" s="1"/>
    </row>
    <row r="50" spans="1:14" x14ac:dyDescent="0.25">
      <c r="A50" s="28"/>
      <c r="B50" s="16" t="s">
        <v>49</v>
      </c>
      <c r="C50" s="19" t="s">
        <v>32</v>
      </c>
      <c r="D50" s="20">
        <v>2</v>
      </c>
      <c r="E50" s="31"/>
      <c r="F50" s="20" t="s">
        <v>4</v>
      </c>
      <c r="G50" s="10">
        <f t="shared" si="0"/>
        <v>485986</v>
      </c>
      <c r="H50" s="7"/>
      <c r="I50" s="7">
        <v>417986</v>
      </c>
      <c r="J50" s="7">
        <v>68000</v>
      </c>
      <c r="K50" s="8"/>
      <c r="L50" s="1"/>
      <c r="M50" s="1"/>
      <c r="N50" s="1"/>
    </row>
    <row r="51" spans="1:14" x14ac:dyDescent="0.25">
      <c r="A51" s="28"/>
      <c r="B51" s="16" t="s">
        <v>49</v>
      </c>
      <c r="C51" s="19" t="s">
        <v>35</v>
      </c>
      <c r="D51" s="20">
        <v>3</v>
      </c>
      <c r="E51" s="31"/>
      <c r="F51" s="20" t="s">
        <v>6</v>
      </c>
      <c r="G51" s="10">
        <f t="shared" si="0"/>
        <v>1903400</v>
      </c>
      <c r="H51" s="7">
        <v>960000</v>
      </c>
      <c r="I51" s="7">
        <f>420700+420700</f>
        <v>841400</v>
      </c>
      <c r="J51" s="7">
        <v>102000</v>
      </c>
      <c r="K51" s="8"/>
      <c r="L51" s="1"/>
      <c r="M51" s="1"/>
      <c r="N51" s="1"/>
    </row>
    <row r="52" spans="1:14" x14ac:dyDescent="0.25">
      <c r="A52" s="29"/>
      <c r="B52" s="16" t="s">
        <v>49</v>
      </c>
      <c r="C52" s="19" t="s">
        <v>35</v>
      </c>
      <c r="D52" s="20">
        <v>2</v>
      </c>
      <c r="E52" s="31"/>
      <c r="F52" s="20" t="s">
        <v>6</v>
      </c>
      <c r="G52" s="10">
        <f t="shared" si="0"/>
        <v>1984616</v>
      </c>
      <c r="H52" s="7"/>
      <c r="I52" s="7">
        <f>956782+959834</f>
        <v>1916616</v>
      </c>
      <c r="J52" s="7">
        <v>68000</v>
      </c>
      <c r="K52" s="8"/>
      <c r="L52" s="1"/>
      <c r="M52" s="1"/>
      <c r="N52" s="1"/>
    </row>
    <row r="53" spans="1:14" x14ac:dyDescent="0.25">
      <c r="A53" s="26"/>
      <c r="B53" s="16" t="s">
        <v>49</v>
      </c>
      <c r="C53" s="19" t="s">
        <v>34</v>
      </c>
      <c r="D53" s="23">
        <v>1</v>
      </c>
      <c r="E53" s="32"/>
      <c r="F53" s="23" t="s">
        <v>6</v>
      </c>
      <c r="G53" s="10">
        <f t="shared" si="0"/>
        <v>577235</v>
      </c>
      <c r="H53" s="7"/>
      <c r="I53" s="7">
        <f>245000+298235</f>
        <v>543235</v>
      </c>
      <c r="J53" s="7">
        <v>34000</v>
      </c>
      <c r="K53" s="8"/>
      <c r="L53" s="1"/>
      <c r="M53" s="1"/>
      <c r="N53" s="1"/>
    </row>
    <row r="54" spans="1:14" ht="38.25" customHeight="1" x14ac:dyDescent="0.25">
      <c r="A54" s="27">
        <v>8</v>
      </c>
      <c r="B54" s="16" t="s">
        <v>49</v>
      </c>
      <c r="C54" s="15" t="s">
        <v>37</v>
      </c>
      <c r="D54" s="14">
        <v>5</v>
      </c>
      <c r="E54" s="30" t="s">
        <v>5</v>
      </c>
      <c r="F54" s="14" t="s">
        <v>6</v>
      </c>
      <c r="G54" s="10">
        <f t="shared" si="0"/>
        <v>3022538</v>
      </c>
      <c r="H54" s="7">
        <f>450000+900000</f>
        <v>1350000</v>
      </c>
      <c r="I54" s="7">
        <f>663273+52360+786905</f>
        <v>1502538</v>
      </c>
      <c r="J54" s="7">
        <v>170000</v>
      </c>
      <c r="K54" s="8"/>
      <c r="L54" s="1"/>
      <c r="M54" s="1"/>
      <c r="N54" s="1"/>
    </row>
    <row r="55" spans="1:14" x14ac:dyDescent="0.25">
      <c r="A55" s="28"/>
      <c r="B55" s="16" t="s">
        <v>49</v>
      </c>
      <c r="C55" s="19" t="s">
        <v>35</v>
      </c>
      <c r="D55" s="20">
        <v>1</v>
      </c>
      <c r="E55" s="31"/>
      <c r="F55" s="20" t="s">
        <v>4</v>
      </c>
      <c r="G55" s="10">
        <f t="shared" si="0"/>
        <v>1092400</v>
      </c>
      <c r="H55" s="7">
        <v>400000</v>
      </c>
      <c r="I55" s="7">
        <f>336000+323400</f>
        <v>659400</v>
      </c>
      <c r="J55" s="7">
        <v>33000</v>
      </c>
      <c r="K55" s="8"/>
      <c r="L55" s="1"/>
      <c r="M55" s="1"/>
      <c r="N55" s="1"/>
    </row>
    <row r="56" spans="1:14" x14ac:dyDescent="0.25">
      <c r="A56" s="28"/>
      <c r="B56" s="16" t="s">
        <v>49</v>
      </c>
      <c r="C56" s="19" t="s">
        <v>55</v>
      </c>
      <c r="D56" s="20">
        <v>2</v>
      </c>
      <c r="E56" s="31"/>
      <c r="F56" s="20" t="s">
        <v>6</v>
      </c>
      <c r="G56" s="10">
        <f t="shared" si="0"/>
        <v>809800</v>
      </c>
      <c r="H56" s="7">
        <v>300000</v>
      </c>
      <c r="I56" s="7">
        <f>282000+159800</f>
        <v>441800</v>
      </c>
      <c r="J56" s="7">
        <v>68000</v>
      </c>
      <c r="K56" s="8"/>
      <c r="L56" s="1"/>
      <c r="M56" s="1"/>
      <c r="N56" s="1"/>
    </row>
    <row r="57" spans="1:14" x14ac:dyDescent="0.25">
      <c r="A57" s="28"/>
      <c r="B57" s="16" t="s">
        <v>49</v>
      </c>
      <c r="C57" s="19" t="s">
        <v>30</v>
      </c>
      <c r="D57" s="20">
        <v>1</v>
      </c>
      <c r="E57" s="31"/>
      <c r="F57" s="20" t="s">
        <v>6</v>
      </c>
      <c r="G57" s="10">
        <f t="shared" si="0"/>
        <v>608400</v>
      </c>
      <c r="H57" s="7">
        <v>350000</v>
      </c>
      <c r="I57" s="7">
        <f>119000+105400</f>
        <v>224400</v>
      </c>
      <c r="J57" s="7">
        <v>34000</v>
      </c>
      <c r="K57" s="8"/>
      <c r="L57" s="1"/>
      <c r="M57" s="1"/>
      <c r="N57" s="1"/>
    </row>
    <row r="58" spans="1:14" x14ac:dyDescent="0.25">
      <c r="A58" s="29"/>
      <c r="B58" s="16" t="s">
        <v>49</v>
      </c>
      <c r="C58" s="19" t="s">
        <v>35</v>
      </c>
      <c r="D58" s="20">
        <v>2</v>
      </c>
      <c r="E58" s="32"/>
      <c r="F58" s="20" t="s">
        <v>6</v>
      </c>
      <c r="G58" s="10">
        <f t="shared" si="0"/>
        <v>2083661</v>
      </c>
      <c r="H58" s="7">
        <v>800000</v>
      </c>
      <c r="I58" s="7">
        <f>420700+794961</f>
        <v>1215661</v>
      </c>
      <c r="J58" s="7">
        <v>68000</v>
      </c>
      <c r="K58" s="8"/>
      <c r="L58" s="1"/>
      <c r="M58" s="1"/>
      <c r="N58" s="1"/>
    </row>
    <row r="59" spans="1:14" ht="38.25" customHeight="1" x14ac:dyDescent="0.25">
      <c r="A59" s="27">
        <v>9</v>
      </c>
      <c r="B59" s="16" t="s">
        <v>49</v>
      </c>
      <c r="C59" s="15" t="s">
        <v>32</v>
      </c>
      <c r="D59" s="14">
        <v>2</v>
      </c>
      <c r="E59" s="30" t="s">
        <v>44</v>
      </c>
      <c r="F59" s="14" t="s">
        <v>6</v>
      </c>
      <c r="G59" s="10">
        <f t="shared" si="0"/>
        <v>1118800</v>
      </c>
      <c r="H59" s="7">
        <v>840000</v>
      </c>
      <c r="I59" s="7">
        <f>105400+105400</f>
        <v>210800</v>
      </c>
      <c r="J59" s="7">
        <v>68000</v>
      </c>
      <c r="K59" s="8"/>
      <c r="L59" s="1"/>
      <c r="M59" s="1"/>
      <c r="N59" s="1"/>
    </row>
    <row r="60" spans="1:14" x14ac:dyDescent="0.25">
      <c r="A60" s="28"/>
      <c r="B60" s="16" t="s">
        <v>49</v>
      </c>
      <c r="C60" s="15" t="s">
        <v>31</v>
      </c>
      <c r="D60" s="14">
        <v>3</v>
      </c>
      <c r="E60" s="31"/>
      <c r="F60" s="14" t="s">
        <v>4</v>
      </c>
      <c r="G60" s="10">
        <f t="shared" si="0"/>
        <v>1415120</v>
      </c>
      <c r="H60" s="7">
        <v>1120000</v>
      </c>
      <c r="I60" s="7">
        <v>193120</v>
      </c>
      <c r="J60" s="7">
        <v>102000</v>
      </c>
      <c r="K60" s="8"/>
      <c r="L60" s="1"/>
      <c r="M60" s="1"/>
      <c r="N60" s="1"/>
    </row>
    <row r="61" spans="1:14" x14ac:dyDescent="0.25">
      <c r="A61" s="28"/>
      <c r="B61" s="16" t="s">
        <v>49</v>
      </c>
      <c r="C61" s="15" t="s">
        <v>31</v>
      </c>
      <c r="D61" s="14">
        <v>2</v>
      </c>
      <c r="E61" s="31"/>
      <c r="F61" s="14" t="s">
        <v>4</v>
      </c>
      <c r="G61" s="10">
        <f t="shared" si="0"/>
        <v>1191681</v>
      </c>
      <c r="H61" s="7">
        <v>700000</v>
      </c>
      <c r="I61" s="7">
        <f>327121+96560</f>
        <v>423681</v>
      </c>
      <c r="J61" s="7">
        <v>68000</v>
      </c>
      <c r="K61" s="8"/>
      <c r="L61" s="1"/>
      <c r="M61" s="1"/>
      <c r="N61" s="1"/>
    </row>
    <row r="62" spans="1:14" x14ac:dyDescent="0.25">
      <c r="A62" s="28"/>
      <c r="B62" s="16" t="s">
        <v>49</v>
      </c>
      <c r="C62" s="19" t="s">
        <v>32</v>
      </c>
      <c r="D62" s="20">
        <v>3</v>
      </c>
      <c r="E62" s="31"/>
      <c r="F62" s="20" t="s">
        <v>4</v>
      </c>
      <c r="G62" s="10">
        <f t="shared" si="0"/>
        <v>1207360</v>
      </c>
      <c r="H62" s="7">
        <v>900000</v>
      </c>
      <c r="I62" s="7">
        <f>102680+102680</f>
        <v>205360</v>
      </c>
      <c r="J62" s="7">
        <v>102000</v>
      </c>
      <c r="K62" s="8"/>
      <c r="L62" s="1"/>
      <c r="M62" s="1"/>
      <c r="N62" s="1"/>
    </row>
    <row r="63" spans="1:14" x14ac:dyDescent="0.25">
      <c r="A63" s="28"/>
      <c r="B63" s="16" t="s">
        <v>49</v>
      </c>
      <c r="C63" s="19" t="s">
        <v>55</v>
      </c>
      <c r="D63" s="20">
        <v>6</v>
      </c>
      <c r="E63" s="31"/>
      <c r="F63" s="20" t="s">
        <v>4</v>
      </c>
      <c r="G63" s="10">
        <f t="shared" si="0"/>
        <v>2719892</v>
      </c>
      <c r="H63" s="7">
        <v>1800000</v>
      </c>
      <c r="I63" s="7">
        <f>282000+433892</f>
        <v>715892</v>
      </c>
      <c r="J63" s="7">
        <v>204000</v>
      </c>
      <c r="K63" s="8"/>
      <c r="L63" s="1"/>
      <c r="M63" s="1"/>
      <c r="N63" s="1"/>
    </row>
    <row r="64" spans="1:14" x14ac:dyDescent="0.25">
      <c r="A64" s="28"/>
      <c r="B64" s="16" t="s">
        <v>49</v>
      </c>
      <c r="C64" s="19" t="s">
        <v>34</v>
      </c>
      <c r="D64" s="20">
        <v>1</v>
      </c>
      <c r="E64" s="31"/>
      <c r="F64" s="20" t="s">
        <v>6</v>
      </c>
      <c r="G64" s="10">
        <f t="shared" si="0"/>
        <v>244800</v>
      </c>
      <c r="H64" s="7"/>
      <c r="I64" s="7">
        <v>210800</v>
      </c>
      <c r="J64" s="7">
        <v>34000</v>
      </c>
      <c r="K64" s="8"/>
      <c r="L64" s="1"/>
      <c r="M64" s="1"/>
      <c r="N64" s="1"/>
    </row>
    <row r="65" spans="1:14" x14ac:dyDescent="0.25">
      <c r="A65" s="29"/>
      <c r="B65" s="16" t="s">
        <v>49</v>
      </c>
      <c r="C65" s="19" t="s">
        <v>35</v>
      </c>
      <c r="D65" s="20">
        <v>5</v>
      </c>
      <c r="E65" s="32"/>
      <c r="F65" s="20" t="s">
        <v>6</v>
      </c>
      <c r="G65" s="10">
        <f t="shared" si="0"/>
        <v>2757510</v>
      </c>
      <c r="H65" s="7">
        <v>2000000</v>
      </c>
      <c r="I65" s="7">
        <f>166810+420700</f>
        <v>587510</v>
      </c>
      <c r="J65" s="7">
        <v>170000</v>
      </c>
      <c r="K65" s="8"/>
      <c r="L65" s="1"/>
      <c r="M65" s="1"/>
      <c r="N65" s="1"/>
    </row>
    <row r="66" spans="1:14" x14ac:dyDescent="0.25">
      <c r="A66" s="13">
        <v>10</v>
      </c>
      <c r="B66" s="16" t="s">
        <v>49</v>
      </c>
      <c r="C66" s="15" t="s">
        <v>34</v>
      </c>
      <c r="D66" s="14">
        <v>2</v>
      </c>
      <c r="E66" s="20" t="s">
        <v>7</v>
      </c>
      <c r="F66" s="14" t="s">
        <v>4</v>
      </c>
      <c r="G66" s="10">
        <f t="shared" si="0"/>
        <v>826000</v>
      </c>
      <c r="H66" s="7">
        <v>350000</v>
      </c>
      <c r="I66" s="7">
        <v>408000</v>
      </c>
      <c r="J66" s="7">
        <v>68000</v>
      </c>
      <c r="K66" s="8"/>
      <c r="L66" s="1"/>
      <c r="M66" s="1"/>
      <c r="N66" s="1"/>
    </row>
    <row r="67" spans="1:14" ht="25.5" x14ac:dyDescent="0.25">
      <c r="A67" s="46">
        <v>11</v>
      </c>
      <c r="B67" s="16" t="s">
        <v>49</v>
      </c>
      <c r="C67" s="15" t="s">
        <v>10</v>
      </c>
      <c r="D67" s="14">
        <v>7</v>
      </c>
      <c r="E67" s="50" t="s">
        <v>9</v>
      </c>
      <c r="F67" s="14" t="s">
        <v>4</v>
      </c>
      <c r="G67" s="10">
        <f t="shared" si="0"/>
        <v>2576609</v>
      </c>
      <c r="H67" s="7">
        <v>1920000</v>
      </c>
      <c r="I67" s="7">
        <f>293349+26860+105400</f>
        <v>425609</v>
      </c>
      <c r="J67" s="7">
        <v>231000</v>
      </c>
      <c r="K67" s="8"/>
      <c r="L67" s="1"/>
      <c r="M67" s="1"/>
      <c r="N67" s="1"/>
    </row>
    <row r="68" spans="1:14" x14ac:dyDescent="0.25">
      <c r="A68" s="46"/>
      <c r="B68" s="16" t="s">
        <v>49</v>
      </c>
      <c r="C68" s="15" t="s">
        <v>30</v>
      </c>
      <c r="D68" s="14">
        <v>6</v>
      </c>
      <c r="E68" s="50"/>
      <c r="F68" s="14" t="s">
        <v>4</v>
      </c>
      <c r="G68" s="10">
        <f t="shared" si="0"/>
        <v>2758930</v>
      </c>
      <c r="H68" s="7">
        <v>2250000</v>
      </c>
      <c r="I68" s="7">
        <f>195330+115600</f>
        <v>310930</v>
      </c>
      <c r="J68" s="7">
        <v>198000</v>
      </c>
      <c r="K68" s="8"/>
      <c r="L68" s="1"/>
      <c r="M68" s="1"/>
      <c r="N68" s="1"/>
    </row>
    <row r="69" spans="1:14" x14ac:dyDescent="0.25">
      <c r="A69" s="46"/>
      <c r="B69" s="16" t="s">
        <v>49</v>
      </c>
      <c r="C69" s="15" t="s">
        <v>30</v>
      </c>
      <c r="D69" s="14">
        <v>8</v>
      </c>
      <c r="E69" s="50"/>
      <c r="F69" s="14" t="s">
        <v>4</v>
      </c>
      <c r="G69" s="10">
        <f t="shared" si="0"/>
        <v>3195200</v>
      </c>
      <c r="H69" s="7">
        <v>2700000</v>
      </c>
      <c r="I69" s="7">
        <f>115600+115600</f>
        <v>231200</v>
      </c>
      <c r="J69" s="7">
        <v>264000</v>
      </c>
      <c r="K69" s="8"/>
      <c r="L69" s="1"/>
      <c r="M69" s="1"/>
      <c r="N69" s="1"/>
    </row>
    <row r="70" spans="1:14" ht="38.25" x14ac:dyDescent="0.25">
      <c r="A70" s="27">
        <v>12</v>
      </c>
      <c r="B70" s="16" t="s">
        <v>49</v>
      </c>
      <c r="C70" s="15" t="s">
        <v>8</v>
      </c>
      <c r="D70" s="14">
        <v>3</v>
      </c>
      <c r="E70" s="30" t="s">
        <v>11</v>
      </c>
      <c r="F70" s="14" t="s">
        <v>4</v>
      </c>
      <c r="G70" s="10">
        <f t="shared" si="0"/>
        <v>1168560</v>
      </c>
      <c r="H70" s="7">
        <v>800000</v>
      </c>
      <c r="I70" s="7">
        <f>119000+25500+27880+94180</f>
        <v>266560</v>
      </c>
      <c r="J70" s="7">
        <v>102000</v>
      </c>
      <c r="K70" s="8"/>
      <c r="L70" s="1"/>
      <c r="M70" s="1"/>
      <c r="N70" s="1"/>
    </row>
    <row r="71" spans="1:14" ht="25.5" x14ac:dyDescent="0.25">
      <c r="A71" s="29"/>
      <c r="B71" s="16" t="s">
        <v>49</v>
      </c>
      <c r="C71" s="19" t="s">
        <v>56</v>
      </c>
      <c r="D71" s="20">
        <v>2</v>
      </c>
      <c r="E71" s="32"/>
      <c r="F71" s="20" t="s">
        <v>6</v>
      </c>
      <c r="G71" s="10">
        <f t="shared" si="0"/>
        <v>2372618</v>
      </c>
      <c r="H71" s="7">
        <v>840000</v>
      </c>
      <c r="I71" s="7">
        <v>1464618</v>
      </c>
      <c r="J71" s="7">
        <v>68000</v>
      </c>
      <c r="K71" s="8"/>
      <c r="L71" s="1"/>
      <c r="M71" s="1"/>
      <c r="N71" s="1"/>
    </row>
    <row r="72" spans="1:14" ht="38.25" customHeight="1" x14ac:dyDescent="0.25">
      <c r="A72" s="27">
        <v>13</v>
      </c>
      <c r="B72" s="16" t="s">
        <v>49</v>
      </c>
      <c r="C72" s="15" t="s">
        <v>30</v>
      </c>
      <c r="D72" s="14">
        <v>2</v>
      </c>
      <c r="E72" s="30" t="s">
        <v>12</v>
      </c>
      <c r="F72" s="14" t="s">
        <v>4</v>
      </c>
      <c r="G72" s="10">
        <f t="shared" si="0"/>
        <v>649200</v>
      </c>
      <c r="H72" s="7">
        <v>350000</v>
      </c>
      <c r="I72" s="7">
        <f>115600+115600</f>
        <v>231200</v>
      </c>
      <c r="J72" s="7">
        <v>68000</v>
      </c>
      <c r="K72" s="8"/>
      <c r="L72" s="1"/>
      <c r="M72" s="1"/>
      <c r="N72" s="1"/>
    </row>
    <row r="73" spans="1:14" x14ac:dyDescent="0.25">
      <c r="A73" s="28"/>
      <c r="B73" s="16" t="s">
        <v>49</v>
      </c>
      <c r="C73" s="15" t="s">
        <v>30</v>
      </c>
      <c r="D73" s="14">
        <v>4</v>
      </c>
      <c r="E73" s="31"/>
      <c r="F73" s="14" t="s">
        <v>4</v>
      </c>
      <c r="G73" s="10">
        <f t="shared" si="0"/>
        <v>1417200</v>
      </c>
      <c r="H73" s="7">
        <v>1050000</v>
      </c>
      <c r="I73" s="7">
        <f>115600+115600</f>
        <v>231200</v>
      </c>
      <c r="J73" s="7">
        <v>136000</v>
      </c>
      <c r="K73" s="8"/>
      <c r="L73" s="1"/>
      <c r="M73" s="1"/>
      <c r="N73" s="1"/>
    </row>
    <row r="74" spans="1:14" x14ac:dyDescent="0.25">
      <c r="A74" s="28"/>
      <c r="B74" s="16" t="s">
        <v>49</v>
      </c>
      <c r="C74" s="15" t="s">
        <v>33</v>
      </c>
      <c r="D74" s="14">
        <v>4</v>
      </c>
      <c r="E74" s="31"/>
      <c r="F74" s="14" t="s">
        <v>4</v>
      </c>
      <c r="G74" s="10">
        <f t="shared" si="0"/>
        <v>2264905</v>
      </c>
      <c r="H74" s="7">
        <v>900000</v>
      </c>
      <c r="I74" s="7">
        <f>672333+556572</f>
        <v>1228905</v>
      </c>
      <c r="J74" s="7">
        <v>136000</v>
      </c>
      <c r="K74" s="8"/>
      <c r="L74" s="1"/>
      <c r="M74" s="1"/>
      <c r="N74" s="1"/>
    </row>
    <row r="75" spans="1:14" x14ac:dyDescent="0.25">
      <c r="A75" s="28"/>
      <c r="B75" s="16" t="s">
        <v>49</v>
      </c>
      <c r="C75" s="19" t="s">
        <v>55</v>
      </c>
      <c r="D75" s="20">
        <v>1</v>
      </c>
      <c r="E75" s="31"/>
      <c r="F75" s="20" t="s">
        <v>4</v>
      </c>
      <c r="G75" s="10">
        <f t="shared" si="0"/>
        <v>564000</v>
      </c>
      <c r="H75" s="7"/>
      <c r="I75" s="7">
        <f>282000+282000</f>
        <v>564000</v>
      </c>
      <c r="J75" s="7"/>
      <c r="K75" s="8"/>
      <c r="L75" s="1"/>
      <c r="M75" s="1"/>
      <c r="N75" s="1"/>
    </row>
    <row r="76" spans="1:14" x14ac:dyDescent="0.25">
      <c r="A76" s="29"/>
      <c r="B76" s="16" t="s">
        <v>49</v>
      </c>
      <c r="C76" s="19" t="s">
        <v>35</v>
      </c>
      <c r="D76" s="20">
        <v>6</v>
      </c>
      <c r="E76" s="32"/>
      <c r="F76" s="20" t="s">
        <v>4</v>
      </c>
      <c r="G76" s="10">
        <f t="shared" si="0"/>
        <v>3422749</v>
      </c>
      <c r="H76" s="7">
        <v>2400000</v>
      </c>
      <c r="I76" s="7">
        <f>495349+323400</f>
        <v>818749</v>
      </c>
      <c r="J76" s="7">
        <v>204000</v>
      </c>
      <c r="K76" s="8"/>
      <c r="L76" s="1"/>
      <c r="M76" s="1"/>
      <c r="N76" s="1"/>
    </row>
    <row r="77" spans="1:14" ht="38.25" customHeight="1" x14ac:dyDescent="0.25">
      <c r="A77" s="27">
        <v>14</v>
      </c>
      <c r="B77" s="16" t="s">
        <v>49</v>
      </c>
      <c r="C77" s="15" t="s">
        <v>32</v>
      </c>
      <c r="D77" s="14">
        <v>12</v>
      </c>
      <c r="E77" s="30" t="s">
        <v>18</v>
      </c>
      <c r="F77" s="14" t="s">
        <v>6</v>
      </c>
      <c r="G77" s="10">
        <f t="shared" si="0"/>
        <v>4546380</v>
      </c>
      <c r="H77" s="7">
        <v>3920000</v>
      </c>
      <c r="I77" s="7">
        <f>118380+100000</f>
        <v>218380</v>
      </c>
      <c r="J77" s="7">
        <v>408000</v>
      </c>
      <c r="K77" s="8"/>
      <c r="L77" s="1"/>
      <c r="M77" s="1"/>
      <c r="N77" s="1"/>
    </row>
    <row r="78" spans="1:14" x14ac:dyDescent="0.25">
      <c r="A78" s="28"/>
      <c r="B78" s="16" t="s">
        <v>49</v>
      </c>
      <c r="C78" s="15" t="s">
        <v>34</v>
      </c>
      <c r="D78" s="14">
        <v>3</v>
      </c>
      <c r="E78" s="31"/>
      <c r="F78" s="14" t="s">
        <v>6</v>
      </c>
      <c r="G78" s="10">
        <f t="shared" si="0"/>
        <v>1512800</v>
      </c>
      <c r="H78" s="7">
        <v>1200000</v>
      </c>
      <c r="I78" s="7">
        <f>105400+105400</f>
        <v>210800</v>
      </c>
      <c r="J78" s="7">
        <v>102000</v>
      </c>
      <c r="K78" s="8"/>
      <c r="L78" s="1"/>
      <c r="M78" s="1"/>
      <c r="N78" s="1"/>
    </row>
    <row r="79" spans="1:14" x14ac:dyDescent="0.25">
      <c r="A79" s="28"/>
      <c r="B79" s="16" t="s">
        <v>49</v>
      </c>
      <c r="C79" s="19" t="s">
        <v>35</v>
      </c>
      <c r="D79" s="20">
        <v>7</v>
      </c>
      <c r="E79" s="31"/>
      <c r="F79" s="20" t="s">
        <v>6</v>
      </c>
      <c r="G79" s="10">
        <f t="shared" si="0"/>
        <v>3626000</v>
      </c>
      <c r="H79" s="7">
        <v>2700000</v>
      </c>
      <c r="I79" s="7">
        <f>336000+148000+204000</f>
        <v>688000</v>
      </c>
      <c r="J79" s="7">
        <v>238000</v>
      </c>
      <c r="K79" s="8"/>
      <c r="L79" s="1"/>
      <c r="M79" s="1"/>
      <c r="N79" s="1"/>
    </row>
    <row r="80" spans="1:14" ht="25.5" x14ac:dyDescent="0.25">
      <c r="A80" s="29"/>
      <c r="B80" s="16" t="s">
        <v>49</v>
      </c>
      <c r="C80" s="19" t="s">
        <v>58</v>
      </c>
      <c r="D80" s="20">
        <v>3</v>
      </c>
      <c r="E80" s="32"/>
      <c r="F80" s="20" t="s">
        <v>6</v>
      </c>
      <c r="G80" s="10">
        <f t="shared" si="0"/>
        <v>676400</v>
      </c>
      <c r="H80" s="7">
        <v>350000</v>
      </c>
      <c r="I80" s="7">
        <f>119000+105400</f>
        <v>224400</v>
      </c>
      <c r="J80" s="7">
        <v>102000</v>
      </c>
      <c r="K80" s="8"/>
      <c r="L80" s="1"/>
      <c r="M80" s="1"/>
      <c r="N80" s="1"/>
    </row>
    <row r="81" spans="1:14" ht="38.25" customHeight="1" x14ac:dyDescent="0.25">
      <c r="A81" s="27">
        <v>15</v>
      </c>
      <c r="B81" s="16" t="s">
        <v>49</v>
      </c>
      <c r="C81" s="15" t="s">
        <v>33</v>
      </c>
      <c r="D81" s="14">
        <v>1</v>
      </c>
      <c r="E81" s="30" t="s">
        <v>20</v>
      </c>
      <c r="F81" s="14" t="s">
        <v>6</v>
      </c>
      <c r="G81" s="10">
        <f t="shared" si="0"/>
        <v>1472943</v>
      </c>
      <c r="H81" s="7"/>
      <c r="I81" s="7">
        <v>1438943</v>
      </c>
      <c r="J81" s="7">
        <v>34000</v>
      </c>
      <c r="K81" s="8"/>
      <c r="L81" s="1"/>
      <c r="M81" s="1"/>
      <c r="N81" s="1"/>
    </row>
    <row r="82" spans="1:14" x14ac:dyDescent="0.25">
      <c r="A82" s="28"/>
      <c r="B82" s="16" t="s">
        <v>49</v>
      </c>
      <c r="C82" s="15" t="s">
        <v>33</v>
      </c>
      <c r="D82" s="14">
        <v>3</v>
      </c>
      <c r="E82" s="31"/>
      <c r="F82" s="14" t="s">
        <v>4</v>
      </c>
      <c r="G82" s="10">
        <f t="shared" si="0"/>
        <v>2472595</v>
      </c>
      <c r="H82" s="7">
        <v>1020000</v>
      </c>
      <c r="I82" s="7">
        <v>1418595</v>
      </c>
      <c r="J82" s="7">
        <v>34000</v>
      </c>
      <c r="K82" s="8"/>
      <c r="L82" s="1"/>
      <c r="M82" s="1"/>
      <c r="N82" s="1"/>
    </row>
    <row r="83" spans="1:14" x14ac:dyDescent="0.25">
      <c r="A83" s="28"/>
      <c r="B83" s="16" t="s">
        <v>49</v>
      </c>
      <c r="C83" s="19" t="s">
        <v>32</v>
      </c>
      <c r="D83" s="20">
        <v>2</v>
      </c>
      <c r="E83" s="31"/>
      <c r="F83" s="20" t="s">
        <v>4</v>
      </c>
      <c r="G83" s="10">
        <f t="shared" si="0"/>
        <v>488000</v>
      </c>
      <c r="H83" s="7">
        <v>420000</v>
      </c>
      <c r="I83" s="7"/>
      <c r="J83" s="7">
        <v>68000</v>
      </c>
      <c r="K83" s="8"/>
      <c r="L83" s="1"/>
      <c r="M83" s="1"/>
      <c r="N83" s="1"/>
    </row>
    <row r="84" spans="1:14" x14ac:dyDescent="0.25">
      <c r="A84" s="29"/>
      <c r="B84" s="16" t="s">
        <v>49</v>
      </c>
      <c r="C84" s="19" t="s">
        <v>35</v>
      </c>
      <c r="D84" s="20">
        <v>3</v>
      </c>
      <c r="E84" s="32"/>
      <c r="F84" s="20" t="s">
        <v>6</v>
      </c>
      <c r="G84" s="10">
        <f t="shared" si="0"/>
        <v>2021500</v>
      </c>
      <c r="H84" s="7">
        <v>960000</v>
      </c>
      <c r="I84" s="7">
        <f>403000+556500</f>
        <v>959500</v>
      </c>
      <c r="J84" s="7">
        <v>102000</v>
      </c>
      <c r="K84" s="8"/>
      <c r="L84" s="1"/>
      <c r="M84" s="1"/>
      <c r="N84" s="1"/>
    </row>
    <row r="85" spans="1:14" x14ac:dyDescent="0.25">
      <c r="A85" s="13">
        <v>16</v>
      </c>
      <c r="B85" s="16" t="s">
        <v>49</v>
      </c>
      <c r="C85" s="15" t="s">
        <v>30</v>
      </c>
      <c r="D85" s="14">
        <v>2</v>
      </c>
      <c r="E85" s="14" t="s">
        <v>21</v>
      </c>
      <c r="F85" s="14" t="s">
        <v>4</v>
      </c>
      <c r="G85" s="10">
        <f t="shared" si="0"/>
        <v>420540</v>
      </c>
      <c r="H85" s="7">
        <v>68000</v>
      </c>
      <c r="I85" s="7">
        <f>142270+142270</f>
        <v>284540</v>
      </c>
      <c r="J85" s="7">
        <v>68000</v>
      </c>
      <c r="K85" s="8"/>
      <c r="L85" s="1"/>
      <c r="M85" s="1"/>
      <c r="N85" s="1"/>
    </row>
    <row r="86" spans="1:14" ht="38.25" customHeight="1" x14ac:dyDescent="0.25">
      <c r="A86" s="27">
        <v>17</v>
      </c>
      <c r="B86" s="16" t="s">
        <v>49</v>
      </c>
      <c r="C86" s="15" t="s">
        <v>32</v>
      </c>
      <c r="D86" s="14">
        <v>1</v>
      </c>
      <c r="E86" s="30" t="s">
        <v>22</v>
      </c>
      <c r="F86" s="14" t="s">
        <v>4</v>
      </c>
      <c r="G86" s="10">
        <f t="shared" si="0"/>
        <v>710630</v>
      </c>
      <c r="H86" s="7">
        <v>320000</v>
      </c>
      <c r="I86" s="7">
        <f>105400+252230</f>
        <v>357630</v>
      </c>
      <c r="J86" s="7">
        <v>33000</v>
      </c>
      <c r="K86" s="8"/>
      <c r="L86" s="1"/>
      <c r="M86" s="1"/>
      <c r="N86" s="1"/>
    </row>
    <row r="87" spans="1:14" ht="27" customHeight="1" x14ac:dyDescent="0.25">
      <c r="A87" s="28"/>
      <c r="B87" s="16" t="s">
        <v>49</v>
      </c>
      <c r="C87" s="15" t="s">
        <v>32</v>
      </c>
      <c r="D87" s="14">
        <v>2</v>
      </c>
      <c r="E87" s="31"/>
      <c r="F87" s="14" t="s">
        <v>4</v>
      </c>
      <c r="G87" s="10">
        <f t="shared" si="0"/>
        <v>880323</v>
      </c>
      <c r="H87" s="7">
        <v>320000</v>
      </c>
      <c r="I87" s="7">
        <f>280561+213762</f>
        <v>494323</v>
      </c>
      <c r="J87" s="7">
        <v>66000</v>
      </c>
      <c r="K87" s="8"/>
      <c r="L87" s="1"/>
      <c r="M87" s="1"/>
      <c r="N87" s="1"/>
    </row>
    <row r="88" spans="1:14" ht="27" customHeight="1" x14ac:dyDescent="0.25">
      <c r="A88" s="29"/>
      <c r="B88" s="16" t="s">
        <v>49</v>
      </c>
      <c r="C88" s="19" t="s">
        <v>30</v>
      </c>
      <c r="D88" s="20">
        <v>2</v>
      </c>
      <c r="E88" s="32"/>
      <c r="F88" s="20" t="s">
        <v>4</v>
      </c>
      <c r="G88" s="10">
        <f t="shared" si="0"/>
        <v>1304000</v>
      </c>
      <c r="H88" s="7">
        <v>1000000</v>
      </c>
      <c r="I88" s="7">
        <f>119000+119000</f>
        <v>238000</v>
      </c>
      <c r="J88" s="7">
        <v>66000</v>
      </c>
      <c r="K88" s="8"/>
      <c r="L88" s="1"/>
      <c r="M88" s="1"/>
      <c r="N88" s="1"/>
    </row>
    <row r="89" spans="1:14" x14ac:dyDescent="0.25">
      <c r="A89" s="13">
        <v>18</v>
      </c>
      <c r="B89" s="16" t="s">
        <v>49</v>
      </c>
      <c r="C89" s="15" t="s">
        <v>34</v>
      </c>
      <c r="D89" s="14">
        <v>3</v>
      </c>
      <c r="E89" s="14" t="s">
        <v>23</v>
      </c>
      <c r="F89" s="14" t="s">
        <v>4</v>
      </c>
      <c r="G89" s="10">
        <f t="shared" si="0"/>
        <v>1410000</v>
      </c>
      <c r="H89" s="7">
        <v>900000</v>
      </c>
      <c r="I89" s="7">
        <f>204000+204000</f>
        <v>408000</v>
      </c>
      <c r="J89" s="7">
        <v>102000</v>
      </c>
      <c r="K89" s="8"/>
      <c r="L89" s="1"/>
      <c r="M89" s="1"/>
      <c r="N89" s="1"/>
    </row>
    <row r="90" spans="1:14" x14ac:dyDescent="0.25">
      <c r="A90" s="27">
        <v>19</v>
      </c>
      <c r="B90" s="16" t="s">
        <v>49</v>
      </c>
      <c r="C90" s="15" t="s">
        <v>33</v>
      </c>
      <c r="D90" s="14">
        <v>6</v>
      </c>
      <c r="E90" s="30" t="s">
        <v>24</v>
      </c>
      <c r="F90" s="14" t="s">
        <v>4</v>
      </c>
      <c r="G90" s="10">
        <f t="shared" si="0"/>
        <v>3140427</v>
      </c>
      <c r="H90" s="7">
        <v>1500000</v>
      </c>
      <c r="I90" s="7">
        <f>672333+770094</f>
        <v>1442427</v>
      </c>
      <c r="J90" s="7">
        <v>198000</v>
      </c>
      <c r="K90" s="8"/>
      <c r="L90" s="1"/>
      <c r="M90" s="1"/>
      <c r="N90" s="1"/>
    </row>
    <row r="91" spans="1:14" x14ac:dyDescent="0.25">
      <c r="A91" s="29"/>
      <c r="B91" s="16" t="s">
        <v>49</v>
      </c>
      <c r="C91" s="19" t="s">
        <v>35</v>
      </c>
      <c r="D91" s="20">
        <v>2</v>
      </c>
      <c r="E91" s="32"/>
      <c r="F91" s="20" t="s">
        <v>4</v>
      </c>
      <c r="G91" s="10">
        <f t="shared" si="0"/>
        <v>1125400</v>
      </c>
      <c r="H91" s="7">
        <v>400000</v>
      </c>
      <c r="I91" s="7">
        <f>336000+323400</f>
        <v>659400</v>
      </c>
      <c r="J91" s="7">
        <v>66000</v>
      </c>
      <c r="K91" s="8"/>
      <c r="L91" s="1"/>
      <c r="M91" s="1"/>
      <c r="N91" s="1"/>
    </row>
    <row r="92" spans="1:14" x14ac:dyDescent="0.25">
      <c r="A92" s="27">
        <v>20</v>
      </c>
      <c r="B92" s="16" t="s">
        <v>49</v>
      </c>
      <c r="C92" s="15" t="s">
        <v>35</v>
      </c>
      <c r="D92" s="14">
        <v>5</v>
      </c>
      <c r="E92" s="30" t="s">
        <v>25</v>
      </c>
      <c r="F92" s="14" t="s">
        <v>4</v>
      </c>
      <c r="G92" s="10">
        <f t="shared" si="0"/>
        <v>2929796</v>
      </c>
      <c r="H92" s="7">
        <v>2250000</v>
      </c>
      <c r="I92" s="7">
        <v>509796</v>
      </c>
      <c r="J92" s="7">
        <v>170000</v>
      </c>
      <c r="K92" s="8"/>
      <c r="L92" s="1"/>
      <c r="M92" s="1"/>
      <c r="N92" s="1"/>
    </row>
    <row r="93" spans="1:14" ht="51" x14ac:dyDescent="0.25">
      <c r="A93" s="29"/>
      <c r="B93" s="16" t="s">
        <v>49</v>
      </c>
      <c r="C93" s="19" t="s">
        <v>59</v>
      </c>
      <c r="D93" s="20">
        <v>11</v>
      </c>
      <c r="E93" s="32"/>
      <c r="F93" s="20" t="s">
        <v>6</v>
      </c>
      <c r="G93" s="10">
        <f t="shared" si="0"/>
        <v>6001988</v>
      </c>
      <c r="H93" s="7">
        <f>1800000+3150000</f>
        <v>4950000</v>
      </c>
      <c r="I93" s="7">
        <f>434828+93160+150000</f>
        <v>677988</v>
      </c>
      <c r="J93" s="7">
        <v>374000</v>
      </c>
      <c r="K93" s="8"/>
      <c r="L93" s="1"/>
      <c r="M93" s="1"/>
      <c r="N93" s="1"/>
    </row>
    <row r="94" spans="1:14" x14ac:dyDescent="0.25">
      <c r="A94" s="27">
        <v>21</v>
      </c>
      <c r="B94" s="16" t="s">
        <v>49</v>
      </c>
      <c r="C94" s="15" t="s">
        <v>35</v>
      </c>
      <c r="D94" s="14">
        <v>2</v>
      </c>
      <c r="E94" s="30" t="s">
        <v>26</v>
      </c>
      <c r="F94" s="14" t="s">
        <v>4</v>
      </c>
      <c r="G94" s="10">
        <f t="shared" si="0"/>
        <v>1157525</v>
      </c>
      <c r="H94" s="7">
        <v>300000</v>
      </c>
      <c r="I94" s="7">
        <v>791525</v>
      </c>
      <c r="J94" s="7">
        <v>66000</v>
      </c>
      <c r="K94" s="8"/>
      <c r="L94" s="1"/>
      <c r="M94" s="1"/>
      <c r="N94" s="1"/>
    </row>
    <row r="95" spans="1:14" x14ac:dyDescent="0.25">
      <c r="A95" s="28"/>
      <c r="B95" s="16" t="s">
        <v>49</v>
      </c>
      <c r="C95" s="19" t="s">
        <v>35</v>
      </c>
      <c r="D95" s="20">
        <v>2</v>
      </c>
      <c r="E95" s="31"/>
      <c r="F95" s="20" t="s">
        <v>6</v>
      </c>
      <c r="G95" s="10">
        <f t="shared" si="0"/>
        <v>874000</v>
      </c>
      <c r="H95" s="7"/>
      <c r="I95" s="7">
        <v>806000</v>
      </c>
      <c r="J95" s="7">
        <v>68000</v>
      </c>
      <c r="K95" s="8"/>
      <c r="L95" s="1"/>
      <c r="M95" s="1"/>
      <c r="N95" s="1"/>
    </row>
    <row r="96" spans="1:14" x14ac:dyDescent="0.25">
      <c r="A96" s="29"/>
      <c r="B96" s="16" t="s">
        <v>49</v>
      </c>
      <c r="C96" s="19" t="s">
        <v>35</v>
      </c>
      <c r="D96" s="20">
        <v>7</v>
      </c>
      <c r="E96" s="32"/>
      <c r="F96" s="20" t="s">
        <v>6</v>
      </c>
      <c r="G96" s="10">
        <f t="shared" si="0"/>
        <v>4497490</v>
      </c>
      <c r="H96" s="7">
        <v>3000000</v>
      </c>
      <c r="I96" s="7">
        <f>628742+630748</f>
        <v>1259490</v>
      </c>
      <c r="J96" s="7">
        <v>238000</v>
      </c>
      <c r="K96" s="8"/>
      <c r="L96" s="1"/>
      <c r="M96" s="1"/>
      <c r="N96" s="1"/>
    </row>
    <row r="97" spans="1:14" x14ac:dyDescent="0.25">
      <c r="A97" s="27">
        <v>22</v>
      </c>
      <c r="B97" s="16" t="s">
        <v>49</v>
      </c>
      <c r="C97" s="15" t="s">
        <v>33</v>
      </c>
      <c r="D97" s="14">
        <v>5</v>
      </c>
      <c r="E97" s="30" t="s">
        <v>27</v>
      </c>
      <c r="F97" s="14" t="s">
        <v>4</v>
      </c>
      <c r="G97" s="10">
        <f t="shared" si="0"/>
        <v>2438660</v>
      </c>
      <c r="H97" s="7">
        <v>1400000</v>
      </c>
      <c r="I97" s="7">
        <v>873660</v>
      </c>
      <c r="J97" s="7">
        <v>165000</v>
      </c>
      <c r="K97" s="8"/>
      <c r="L97" s="1"/>
      <c r="M97" s="1"/>
      <c r="N97" s="1"/>
    </row>
    <row r="98" spans="1:14" ht="25.5" x14ac:dyDescent="0.25">
      <c r="A98" s="28"/>
      <c r="B98" s="16" t="s">
        <v>49</v>
      </c>
      <c r="C98" s="19" t="s">
        <v>37</v>
      </c>
      <c r="D98" s="20">
        <v>4</v>
      </c>
      <c r="E98" s="31"/>
      <c r="F98" s="20" t="s">
        <v>6</v>
      </c>
      <c r="G98" s="10">
        <f t="shared" si="0"/>
        <v>3112605</v>
      </c>
      <c r="H98" s="7">
        <v>1350000</v>
      </c>
      <c r="I98" s="7">
        <v>1630605</v>
      </c>
      <c r="J98" s="7">
        <v>132000</v>
      </c>
      <c r="K98" s="8"/>
      <c r="L98" s="1"/>
      <c r="M98" s="1"/>
      <c r="N98" s="1"/>
    </row>
    <row r="99" spans="1:14" x14ac:dyDescent="0.25">
      <c r="A99" s="28"/>
      <c r="B99" s="16" t="s">
        <v>49</v>
      </c>
      <c r="C99" s="19" t="s">
        <v>34</v>
      </c>
      <c r="D99" s="20">
        <v>6</v>
      </c>
      <c r="E99" s="31"/>
      <c r="F99" s="20" t="s">
        <v>6</v>
      </c>
      <c r="G99" s="10">
        <f t="shared" si="0"/>
        <v>3333700</v>
      </c>
      <c r="H99" s="7">
        <v>2800000</v>
      </c>
      <c r="I99" s="7">
        <f>204000+125700</f>
        <v>329700</v>
      </c>
      <c r="J99" s="7">
        <v>204000</v>
      </c>
      <c r="K99" s="8"/>
      <c r="L99" s="1"/>
      <c r="M99" s="1"/>
      <c r="N99" s="1"/>
    </row>
    <row r="100" spans="1:14" x14ac:dyDescent="0.25">
      <c r="A100" s="29"/>
      <c r="B100" s="16" t="s">
        <v>49</v>
      </c>
      <c r="C100" s="19" t="s">
        <v>35</v>
      </c>
      <c r="D100" s="20">
        <v>6</v>
      </c>
      <c r="E100" s="32"/>
      <c r="F100" s="20" t="s">
        <v>6</v>
      </c>
      <c r="G100" s="10">
        <f t="shared" si="0"/>
        <v>2454000</v>
      </c>
      <c r="H100" s="7">
        <v>2250000</v>
      </c>
      <c r="I100" s="7"/>
      <c r="J100" s="7">
        <v>204000</v>
      </c>
      <c r="K100" s="8"/>
      <c r="L100" s="1"/>
      <c r="M100" s="1"/>
      <c r="N100" s="1"/>
    </row>
    <row r="101" spans="1:14" x14ac:dyDescent="0.25">
      <c r="A101" s="27">
        <v>23</v>
      </c>
      <c r="B101" s="16" t="s">
        <v>49</v>
      </c>
      <c r="C101" s="15" t="s">
        <v>34</v>
      </c>
      <c r="D101" s="14">
        <v>9</v>
      </c>
      <c r="E101" s="30" t="s">
        <v>29</v>
      </c>
      <c r="F101" s="14" t="s">
        <v>4</v>
      </c>
      <c r="G101" s="10">
        <f t="shared" si="0"/>
        <v>2876700</v>
      </c>
      <c r="H101" s="7">
        <v>2250000</v>
      </c>
      <c r="I101" s="7">
        <f>204000+125700</f>
        <v>329700</v>
      </c>
      <c r="J101" s="7">
        <v>297000</v>
      </c>
      <c r="K101" s="8"/>
      <c r="L101" s="1"/>
      <c r="M101" s="1"/>
      <c r="N101" s="1"/>
    </row>
    <row r="102" spans="1:14" x14ac:dyDescent="0.25">
      <c r="A102" s="28"/>
      <c r="B102" s="16" t="s">
        <v>49</v>
      </c>
      <c r="C102" s="15" t="s">
        <v>34</v>
      </c>
      <c r="D102" s="14">
        <v>2</v>
      </c>
      <c r="E102" s="31"/>
      <c r="F102" s="14" t="s">
        <v>4</v>
      </c>
      <c r="G102" s="10">
        <f t="shared" si="0"/>
        <v>626800</v>
      </c>
      <c r="H102" s="7">
        <v>350000</v>
      </c>
      <c r="I102" s="7">
        <f>105400+105400</f>
        <v>210800</v>
      </c>
      <c r="J102" s="7">
        <v>66000</v>
      </c>
      <c r="K102" s="8"/>
      <c r="L102" s="1"/>
      <c r="M102" s="1"/>
      <c r="N102" s="1"/>
    </row>
    <row r="103" spans="1:14" x14ac:dyDescent="0.25">
      <c r="A103" s="29"/>
      <c r="B103" s="16" t="s">
        <v>49</v>
      </c>
      <c r="C103" s="19" t="s">
        <v>55</v>
      </c>
      <c r="D103" s="20">
        <v>8</v>
      </c>
      <c r="E103" s="32"/>
      <c r="F103" s="20" t="s">
        <v>4</v>
      </c>
      <c r="G103" s="10">
        <f t="shared" si="0"/>
        <v>2610538</v>
      </c>
      <c r="H103" s="7">
        <v>1800000</v>
      </c>
      <c r="I103" s="7">
        <f>378738+159800</f>
        <v>538538</v>
      </c>
      <c r="J103" s="7">
        <v>272000</v>
      </c>
      <c r="K103" s="8"/>
      <c r="L103" s="1"/>
      <c r="M103" s="1"/>
      <c r="N103" s="1"/>
    </row>
    <row r="104" spans="1:14" x14ac:dyDescent="0.25">
      <c r="A104" s="27">
        <v>24</v>
      </c>
      <c r="B104" s="16" t="s">
        <v>49</v>
      </c>
      <c r="C104" s="33" t="s">
        <v>40</v>
      </c>
      <c r="D104" s="14">
        <v>28</v>
      </c>
      <c r="E104" s="30" t="s">
        <v>39</v>
      </c>
      <c r="F104" s="14" t="s">
        <v>4</v>
      </c>
      <c r="G104" s="10">
        <f t="shared" si="0"/>
        <v>9845120</v>
      </c>
      <c r="H104" s="7">
        <f>2000000+1500000+400000+2400000+1200000+1200000</f>
        <v>8700000</v>
      </c>
      <c r="I104" s="7">
        <f>96560+96560</f>
        <v>193120</v>
      </c>
      <c r="J104" s="7">
        <f>170000+170000+306000+170000+136000</f>
        <v>952000</v>
      </c>
      <c r="K104" s="8"/>
      <c r="L104" s="1"/>
      <c r="M104" s="1"/>
      <c r="N104" s="1"/>
    </row>
    <row r="105" spans="1:14" x14ac:dyDescent="0.25">
      <c r="A105" s="28"/>
      <c r="B105" s="16" t="s">
        <v>49</v>
      </c>
      <c r="C105" s="34"/>
      <c r="D105" s="14">
        <v>16</v>
      </c>
      <c r="E105" s="31"/>
      <c r="F105" s="14" t="s">
        <v>4</v>
      </c>
      <c r="G105" s="10">
        <f t="shared" si="0"/>
        <v>6037120</v>
      </c>
      <c r="H105" s="7">
        <f>1500000+800000+1800000+1200000</f>
        <v>5300000</v>
      </c>
      <c r="I105" s="7">
        <f>96560+96560</f>
        <v>193120</v>
      </c>
      <c r="J105" s="7">
        <f>136000+238000+170000</f>
        <v>544000</v>
      </c>
      <c r="K105" s="8"/>
      <c r="L105" s="1"/>
      <c r="M105" s="1"/>
      <c r="N105" s="1"/>
    </row>
    <row r="106" spans="1:14" x14ac:dyDescent="0.25">
      <c r="A106" s="29"/>
      <c r="B106" s="16" t="s">
        <v>49</v>
      </c>
      <c r="C106" s="35"/>
      <c r="D106" s="20">
        <v>6</v>
      </c>
      <c r="E106" s="32"/>
      <c r="F106" s="20" t="s">
        <v>4</v>
      </c>
      <c r="G106" s="10">
        <f t="shared" si="0"/>
        <v>2139640</v>
      </c>
      <c r="H106" s="7">
        <v>1750000</v>
      </c>
      <c r="I106" s="7">
        <f>92820+92820</f>
        <v>185640</v>
      </c>
      <c r="J106" s="7">
        <v>204000</v>
      </c>
      <c r="K106" s="8"/>
      <c r="L106" s="1"/>
      <c r="M106" s="1"/>
      <c r="N106" s="1"/>
    </row>
    <row r="107" spans="1:14" x14ac:dyDescent="0.25">
      <c r="A107" s="27">
        <v>25</v>
      </c>
      <c r="B107" s="16" t="s">
        <v>49</v>
      </c>
      <c r="C107" s="33" t="s">
        <v>34</v>
      </c>
      <c r="D107" s="14">
        <v>1</v>
      </c>
      <c r="E107" s="30" t="s">
        <v>41</v>
      </c>
      <c r="F107" s="14" t="s">
        <v>4</v>
      </c>
      <c r="G107" s="10">
        <f t="shared" si="0"/>
        <v>515200</v>
      </c>
      <c r="H107" s="7"/>
      <c r="I107" s="7">
        <f>277200+204000</f>
        <v>481200</v>
      </c>
      <c r="J107" s="7">
        <v>34000</v>
      </c>
      <c r="K107" s="8"/>
      <c r="L107" s="1"/>
      <c r="M107" s="1"/>
      <c r="N107" s="1"/>
    </row>
    <row r="108" spans="1:14" x14ac:dyDescent="0.25">
      <c r="A108" s="28"/>
      <c r="B108" s="16" t="s">
        <v>49</v>
      </c>
      <c r="C108" s="34"/>
      <c r="D108" s="20">
        <v>2</v>
      </c>
      <c r="E108" s="31"/>
      <c r="F108" s="20" t="s">
        <v>4</v>
      </c>
      <c r="G108" s="10">
        <f t="shared" si="0"/>
        <v>869700</v>
      </c>
      <c r="H108" s="7">
        <v>400000</v>
      </c>
      <c r="I108" s="7">
        <f>125700+276000</f>
        <v>401700</v>
      </c>
      <c r="J108" s="7">
        <v>68000</v>
      </c>
      <c r="K108" s="8"/>
      <c r="L108" s="1"/>
      <c r="M108" s="1"/>
      <c r="N108" s="1"/>
    </row>
    <row r="109" spans="1:14" x14ac:dyDescent="0.25">
      <c r="A109" s="29"/>
      <c r="B109" s="16" t="s">
        <v>49</v>
      </c>
      <c r="C109" s="35"/>
      <c r="D109" s="20">
        <v>5</v>
      </c>
      <c r="E109" s="32"/>
      <c r="F109" s="20" t="s">
        <v>4</v>
      </c>
      <c r="G109" s="10">
        <f t="shared" ref="G109:G136" si="1">+H109+I109+J109+K109</f>
        <v>1279400</v>
      </c>
      <c r="H109" s="7">
        <v>800000</v>
      </c>
      <c r="I109" s="7">
        <f>204000+105400</f>
        <v>309400</v>
      </c>
      <c r="J109" s="7">
        <v>170000</v>
      </c>
      <c r="K109" s="8"/>
      <c r="L109" s="1"/>
      <c r="M109" s="1"/>
      <c r="N109" s="1"/>
    </row>
    <row r="110" spans="1:14" x14ac:dyDescent="0.25">
      <c r="A110" s="18">
        <v>26</v>
      </c>
      <c r="B110" s="16" t="s">
        <v>49</v>
      </c>
      <c r="C110" s="19" t="s">
        <v>55</v>
      </c>
      <c r="D110" s="20">
        <v>12</v>
      </c>
      <c r="E110" s="20" t="s">
        <v>60</v>
      </c>
      <c r="F110" s="20" t="s">
        <v>4</v>
      </c>
      <c r="G110" s="10">
        <f t="shared" si="1"/>
        <v>4697200</v>
      </c>
      <c r="H110" s="7">
        <f>400000+1750000+1500000</f>
        <v>3650000</v>
      </c>
      <c r="I110" s="7">
        <f>319600+319600</f>
        <v>639200</v>
      </c>
      <c r="J110" s="7">
        <v>408000</v>
      </c>
      <c r="K110" s="8"/>
      <c r="L110" s="1"/>
      <c r="M110" s="1"/>
      <c r="N110" s="1"/>
    </row>
    <row r="111" spans="1:14" x14ac:dyDescent="0.25">
      <c r="A111" s="27">
        <v>27</v>
      </c>
      <c r="B111" s="16" t="s">
        <v>49</v>
      </c>
      <c r="C111" s="19" t="s">
        <v>33</v>
      </c>
      <c r="D111" s="20">
        <v>2</v>
      </c>
      <c r="E111" s="30" t="s">
        <v>61</v>
      </c>
      <c r="F111" s="20" t="s">
        <v>4</v>
      </c>
      <c r="G111" s="10">
        <f t="shared" si="1"/>
        <v>1785535</v>
      </c>
      <c r="H111" s="7"/>
      <c r="I111" s="7">
        <v>1785535</v>
      </c>
      <c r="J111" s="7"/>
      <c r="K111" s="8"/>
      <c r="L111" s="1"/>
      <c r="M111" s="1"/>
      <c r="N111" s="1"/>
    </row>
    <row r="112" spans="1:14" x14ac:dyDescent="0.25">
      <c r="A112" s="28"/>
      <c r="B112" s="16" t="s">
        <v>49</v>
      </c>
      <c r="C112" s="19" t="s">
        <v>30</v>
      </c>
      <c r="D112" s="20">
        <v>3</v>
      </c>
      <c r="E112" s="31"/>
      <c r="F112" s="20" t="s">
        <v>4</v>
      </c>
      <c r="G112" s="10">
        <f t="shared" si="1"/>
        <v>1220000</v>
      </c>
      <c r="H112" s="7">
        <v>880000</v>
      </c>
      <c r="I112" s="7">
        <f>119000+119000</f>
        <v>238000</v>
      </c>
      <c r="J112" s="7">
        <v>102000</v>
      </c>
      <c r="K112" s="8"/>
      <c r="L112" s="1"/>
      <c r="M112" s="1"/>
      <c r="N112" s="1"/>
    </row>
    <row r="113" spans="1:14" x14ac:dyDescent="0.25">
      <c r="A113" s="28"/>
      <c r="B113" s="16" t="s">
        <v>49</v>
      </c>
      <c r="C113" s="19" t="s">
        <v>31</v>
      </c>
      <c r="D113" s="20">
        <v>4</v>
      </c>
      <c r="E113" s="31"/>
      <c r="F113" s="20" t="s">
        <v>6</v>
      </c>
      <c r="G113" s="10">
        <f t="shared" si="1"/>
        <v>1383200</v>
      </c>
      <c r="H113" s="7">
        <v>1050000</v>
      </c>
      <c r="I113" s="7">
        <f>98600+98600</f>
        <v>197200</v>
      </c>
      <c r="J113" s="7">
        <v>136000</v>
      </c>
      <c r="K113" s="8"/>
      <c r="L113" s="1"/>
      <c r="M113" s="1"/>
      <c r="N113" s="1"/>
    </row>
    <row r="114" spans="1:14" x14ac:dyDescent="0.25">
      <c r="A114" s="28"/>
      <c r="B114" s="16" t="s">
        <v>49</v>
      </c>
      <c r="C114" s="19" t="s">
        <v>34</v>
      </c>
      <c r="D114" s="20">
        <v>2</v>
      </c>
      <c r="E114" s="31"/>
      <c r="F114" s="20" t="s">
        <v>4</v>
      </c>
      <c r="G114" s="10">
        <f t="shared" si="1"/>
        <v>469700</v>
      </c>
      <c r="H114" s="7"/>
      <c r="I114" s="7">
        <f>125700+276000</f>
        <v>401700</v>
      </c>
      <c r="J114" s="7">
        <v>68000</v>
      </c>
      <c r="K114" s="8"/>
      <c r="L114" s="1"/>
      <c r="M114" s="1"/>
      <c r="N114" s="1"/>
    </row>
    <row r="115" spans="1:14" x14ac:dyDescent="0.25">
      <c r="A115" s="28"/>
      <c r="B115" s="16" t="s">
        <v>49</v>
      </c>
      <c r="C115" s="19" t="s">
        <v>34</v>
      </c>
      <c r="D115" s="20">
        <v>5</v>
      </c>
      <c r="E115" s="31"/>
      <c r="F115" s="20" t="s">
        <v>4</v>
      </c>
      <c r="G115" s="10">
        <f t="shared" si="1"/>
        <v>1051200</v>
      </c>
      <c r="H115" s="7">
        <v>400000</v>
      </c>
      <c r="I115" s="7">
        <f>204000+277200</f>
        <v>481200</v>
      </c>
      <c r="J115" s="7">
        <v>170000</v>
      </c>
      <c r="K115" s="8"/>
      <c r="L115" s="1"/>
      <c r="M115" s="1"/>
      <c r="N115" s="1"/>
    </row>
    <row r="116" spans="1:14" x14ac:dyDescent="0.25">
      <c r="A116" s="29"/>
      <c r="B116" s="16" t="s">
        <v>49</v>
      </c>
      <c r="C116" s="19" t="s">
        <v>34</v>
      </c>
      <c r="D116" s="20">
        <v>3</v>
      </c>
      <c r="E116" s="32"/>
      <c r="F116" s="20" t="s">
        <v>6</v>
      </c>
      <c r="G116" s="10">
        <f t="shared" si="1"/>
        <v>796000</v>
      </c>
      <c r="H116" s="7">
        <v>204000</v>
      </c>
      <c r="I116" s="7">
        <v>490000</v>
      </c>
      <c r="J116" s="7">
        <v>102000</v>
      </c>
      <c r="K116" s="8"/>
      <c r="L116" s="1"/>
      <c r="M116" s="1"/>
      <c r="N116" s="1"/>
    </row>
    <row r="117" spans="1:14" x14ac:dyDescent="0.25">
      <c r="A117" s="18">
        <v>28</v>
      </c>
      <c r="B117" s="16" t="s">
        <v>49</v>
      </c>
      <c r="C117" s="19" t="s">
        <v>35</v>
      </c>
      <c r="D117" s="20">
        <v>2</v>
      </c>
      <c r="E117" s="20" t="s">
        <v>62</v>
      </c>
      <c r="F117" s="20" t="s">
        <v>4</v>
      </c>
      <c r="G117" s="10">
        <f t="shared" si="1"/>
        <v>849200</v>
      </c>
      <c r="H117" s="7"/>
      <c r="I117" s="7">
        <f>336000+445200</f>
        <v>781200</v>
      </c>
      <c r="J117" s="7">
        <v>68000</v>
      </c>
      <c r="K117" s="8"/>
      <c r="L117" s="1"/>
      <c r="M117" s="1"/>
      <c r="N117" s="1"/>
    </row>
    <row r="118" spans="1:14" x14ac:dyDescent="0.25">
      <c r="A118" s="18">
        <v>29</v>
      </c>
      <c r="B118" s="16" t="s">
        <v>49</v>
      </c>
      <c r="C118" s="19" t="s">
        <v>55</v>
      </c>
      <c r="D118" s="20">
        <v>2</v>
      </c>
      <c r="E118" s="20" t="s">
        <v>63</v>
      </c>
      <c r="F118" s="20" t="s">
        <v>4</v>
      </c>
      <c r="G118" s="10">
        <f t="shared" si="1"/>
        <v>930000</v>
      </c>
      <c r="H118" s="7">
        <v>300000</v>
      </c>
      <c r="I118" s="7">
        <f>282000+282000</f>
        <v>564000</v>
      </c>
      <c r="J118" s="7">
        <v>66000</v>
      </c>
      <c r="K118" s="8"/>
      <c r="L118" s="1"/>
      <c r="M118" s="1"/>
      <c r="N118" s="1"/>
    </row>
    <row r="119" spans="1:14" x14ac:dyDescent="0.25">
      <c r="A119" s="18">
        <v>30</v>
      </c>
      <c r="B119" s="16" t="s">
        <v>49</v>
      </c>
      <c r="C119" s="19" t="s">
        <v>32</v>
      </c>
      <c r="D119" s="20">
        <v>5</v>
      </c>
      <c r="E119" s="20" t="s">
        <v>64</v>
      </c>
      <c r="F119" s="20" t="s">
        <v>4</v>
      </c>
      <c r="G119" s="10">
        <f t="shared" si="1"/>
        <v>2169510</v>
      </c>
      <c r="H119" s="7">
        <v>1680000</v>
      </c>
      <c r="I119" s="7">
        <f>185460+134050</f>
        <v>319510</v>
      </c>
      <c r="J119" s="7">
        <v>170000</v>
      </c>
      <c r="K119" s="8"/>
      <c r="L119" s="1"/>
      <c r="M119" s="1"/>
      <c r="N119" s="1"/>
    </row>
    <row r="120" spans="1:14" ht="25.5" x14ac:dyDescent="0.25">
      <c r="A120" s="27">
        <v>31</v>
      </c>
      <c r="B120" s="16" t="s">
        <v>49</v>
      </c>
      <c r="C120" s="19" t="s">
        <v>37</v>
      </c>
      <c r="D120" s="20">
        <v>8</v>
      </c>
      <c r="E120" s="30" t="s">
        <v>65</v>
      </c>
      <c r="F120" s="20" t="s">
        <v>4</v>
      </c>
      <c r="G120" s="10">
        <f t="shared" si="1"/>
        <v>5174710</v>
      </c>
      <c r="H120" s="7">
        <v>3150000</v>
      </c>
      <c r="I120" s="7">
        <f>943704+809006</f>
        <v>1752710</v>
      </c>
      <c r="J120" s="7">
        <v>272000</v>
      </c>
      <c r="K120" s="8"/>
      <c r="L120" s="1"/>
      <c r="M120" s="1"/>
      <c r="N120" s="1"/>
    </row>
    <row r="121" spans="1:14" x14ac:dyDescent="0.25">
      <c r="A121" s="29"/>
      <c r="B121" s="16" t="s">
        <v>49</v>
      </c>
      <c r="C121" s="19" t="s">
        <v>30</v>
      </c>
      <c r="D121" s="20">
        <v>2</v>
      </c>
      <c r="E121" s="32"/>
      <c r="F121" s="20" t="s">
        <v>6</v>
      </c>
      <c r="G121" s="10">
        <f t="shared" si="1"/>
        <v>1306000</v>
      </c>
      <c r="H121" s="7">
        <v>1000000</v>
      </c>
      <c r="I121" s="7">
        <f>119000+119000</f>
        <v>238000</v>
      </c>
      <c r="J121" s="7">
        <v>68000</v>
      </c>
      <c r="K121" s="8"/>
      <c r="L121" s="1"/>
      <c r="M121" s="1"/>
      <c r="N121" s="1"/>
    </row>
    <row r="122" spans="1:14" x14ac:dyDescent="0.25">
      <c r="A122" s="18">
        <v>32</v>
      </c>
      <c r="B122" s="16" t="s">
        <v>49</v>
      </c>
      <c r="C122" s="19" t="s">
        <v>30</v>
      </c>
      <c r="D122" s="20">
        <v>3</v>
      </c>
      <c r="E122" s="20" t="s">
        <v>66</v>
      </c>
      <c r="F122" s="20" t="s">
        <v>4</v>
      </c>
      <c r="G122" s="10">
        <f t="shared" si="1"/>
        <v>1220000</v>
      </c>
      <c r="H122" s="7">
        <v>880000</v>
      </c>
      <c r="I122" s="7">
        <f>119000+119000</f>
        <v>238000</v>
      </c>
      <c r="J122" s="7">
        <v>102000</v>
      </c>
      <c r="K122" s="8"/>
      <c r="L122" s="1"/>
      <c r="M122" s="1"/>
      <c r="N122" s="1"/>
    </row>
    <row r="123" spans="1:14" x14ac:dyDescent="0.25">
      <c r="A123" s="27">
        <v>33</v>
      </c>
      <c r="B123" s="16" t="s">
        <v>49</v>
      </c>
      <c r="C123" s="19" t="s">
        <v>34</v>
      </c>
      <c r="D123" s="20">
        <v>4</v>
      </c>
      <c r="E123" s="30" t="s">
        <v>67</v>
      </c>
      <c r="F123" s="20" t="s">
        <v>4</v>
      </c>
      <c r="G123" s="10">
        <f t="shared" si="1"/>
        <v>2216000</v>
      </c>
      <c r="H123" s="7">
        <v>1600000</v>
      </c>
      <c r="I123" s="7">
        <f>204000+276000</f>
        <v>480000</v>
      </c>
      <c r="J123" s="7">
        <v>136000</v>
      </c>
      <c r="K123" s="8"/>
      <c r="L123" s="1"/>
      <c r="M123" s="1"/>
      <c r="N123" s="1"/>
    </row>
    <row r="124" spans="1:14" x14ac:dyDescent="0.25">
      <c r="A124" s="28"/>
      <c r="B124" s="16" t="s">
        <v>49</v>
      </c>
      <c r="C124" s="19" t="s">
        <v>35</v>
      </c>
      <c r="D124" s="20">
        <v>4</v>
      </c>
      <c r="E124" s="31"/>
      <c r="F124" s="20" t="s">
        <v>4</v>
      </c>
      <c r="G124" s="10">
        <f t="shared" si="1"/>
        <v>2536885</v>
      </c>
      <c r="H124" s="7">
        <v>1000000</v>
      </c>
      <c r="I124" s="7">
        <f>704885+700000</f>
        <v>1404885</v>
      </c>
      <c r="J124" s="7">
        <v>132000</v>
      </c>
      <c r="K124" s="8"/>
      <c r="L124" s="1"/>
      <c r="M124" s="1"/>
      <c r="N124" s="1"/>
    </row>
    <row r="125" spans="1:14" x14ac:dyDescent="0.25">
      <c r="A125" s="29"/>
      <c r="B125" s="16" t="s">
        <v>49</v>
      </c>
      <c r="C125" s="19" t="s">
        <v>31</v>
      </c>
      <c r="D125" s="20">
        <v>4</v>
      </c>
      <c r="E125" s="32"/>
      <c r="F125" s="20" t="s">
        <v>6</v>
      </c>
      <c r="G125" s="10">
        <f t="shared" si="1"/>
        <v>1733200</v>
      </c>
      <c r="H125" s="7">
        <v>1400000</v>
      </c>
      <c r="I125" s="7">
        <f>98600+98600</f>
        <v>197200</v>
      </c>
      <c r="J125" s="7">
        <v>136000</v>
      </c>
      <c r="K125" s="8"/>
      <c r="L125" s="1"/>
      <c r="M125" s="1"/>
      <c r="N125" s="1"/>
    </row>
    <row r="126" spans="1:14" x14ac:dyDescent="0.25">
      <c r="A126" s="27">
        <v>34</v>
      </c>
      <c r="B126" s="16" t="s">
        <v>49</v>
      </c>
      <c r="C126" s="19" t="s">
        <v>30</v>
      </c>
      <c r="D126" s="20">
        <v>2</v>
      </c>
      <c r="E126" s="30" t="s">
        <v>68</v>
      </c>
      <c r="F126" s="20" t="s">
        <v>4</v>
      </c>
      <c r="G126" s="10">
        <f t="shared" si="1"/>
        <v>351882</v>
      </c>
      <c r="H126" s="7"/>
      <c r="I126" s="7">
        <f>142270+143612</f>
        <v>285882</v>
      </c>
      <c r="J126" s="7">
        <v>66000</v>
      </c>
      <c r="K126" s="8"/>
      <c r="L126" s="1"/>
      <c r="M126" s="1"/>
      <c r="N126" s="1"/>
    </row>
    <row r="127" spans="1:14" x14ac:dyDescent="0.25">
      <c r="A127" s="28"/>
      <c r="B127" s="16" t="s">
        <v>49</v>
      </c>
      <c r="C127" s="19" t="s">
        <v>35</v>
      </c>
      <c r="D127" s="20">
        <v>7</v>
      </c>
      <c r="E127" s="31"/>
      <c r="F127" s="20" t="s">
        <v>4</v>
      </c>
      <c r="G127" s="10">
        <f t="shared" si="1"/>
        <v>3194112</v>
      </c>
      <c r="H127" s="7">
        <v>1950000</v>
      </c>
      <c r="I127" s="7">
        <f>336000+45220+148000+50000+433892</f>
        <v>1013112</v>
      </c>
      <c r="J127" s="7">
        <v>231000</v>
      </c>
      <c r="K127" s="8"/>
      <c r="L127" s="1"/>
      <c r="M127" s="1"/>
      <c r="N127" s="1"/>
    </row>
    <row r="128" spans="1:14" x14ac:dyDescent="0.25">
      <c r="A128" s="29"/>
      <c r="B128" s="16" t="s">
        <v>49</v>
      </c>
      <c r="C128" s="19" t="s">
        <v>35</v>
      </c>
      <c r="D128" s="20">
        <v>12</v>
      </c>
      <c r="E128" s="32"/>
      <c r="F128" s="20" t="s">
        <v>6</v>
      </c>
      <c r="G128" s="10">
        <f t="shared" si="1"/>
        <v>7108441</v>
      </c>
      <c r="H128" s="7">
        <v>5500000</v>
      </c>
      <c r="I128" s="7">
        <f>566500+633941</f>
        <v>1200441</v>
      </c>
      <c r="J128" s="7">
        <v>408000</v>
      </c>
      <c r="K128" s="8"/>
      <c r="L128" s="1"/>
      <c r="M128" s="1"/>
      <c r="N128" s="1"/>
    </row>
    <row r="129" spans="1:14" x14ac:dyDescent="0.25">
      <c r="A129" s="27">
        <v>35</v>
      </c>
      <c r="B129" s="16" t="s">
        <v>49</v>
      </c>
      <c r="C129" s="19" t="s">
        <v>30</v>
      </c>
      <c r="D129" s="20">
        <v>2</v>
      </c>
      <c r="E129" s="30" t="s">
        <v>69</v>
      </c>
      <c r="F129" s="20" t="s">
        <v>6</v>
      </c>
      <c r="G129" s="10">
        <f t="shared" si="1"/>
        <v>442000</v>
      </c>
      <c r="H129" s="7">
        <v>136000</v>
      </c>
      <c r="I129" s="7">
        <f>119000+119000</f>
        <v>238000</v>
      </c>
      <c r="J129" s="7">
        <v>68000</v>
      </c>
      <c r="K129" s="8"/>
      <c r="L129" s="1"/>
      <c r="M129" s="1"/>
      <c r="N129" s="1"/>
    </row>
    <row r="130" spans="1:14" x14ac:dyDescent="0.25">
      <c r="A130" s="29"/>
      <c r="B130" s="16" t="s">
        <v>49</v>
      </c>
      <c r="C130" s="19" t="s">
        <v>35</v>
      </c>
      <c r="D130" s="20">
        <v>3</v>
      </c>
      <c r="E130" s="32"/>
      <c r="F130" s="20" t="s">
        <v>6</v>
      </c>
      <c r="G130" s="10">
        <f t="shared" si="1"/>
        <v>2198211</v>
      </c>
      <c r="H130" s="7">
        <f>300000+68000</f>
        <v>368000</v>
      </c>
      <c r="I130" s="7">
        <f>933250+794961</f>
        <v>1728211</v>
      </c>
      <c r="J130" s="7">
        <v>102000</v>
      </c>
      <c r="K130" s="8"/>
      <c r="L130" s="1"/>
      <c r="M130" s="1"/>
      <c r="N130" s="1"/>
    </row>
    <row r="131" spans="1:14" ht="25.5" x14ac:dyDescent="0.25">
      <c r="A131" s="18">
        <v>36</v>
      </c>
      <c r="B131" s="16" t="s">
        <v>49</v>
      </c>
      <c r="C131" s="19" t="s">
        <v>37</v>
      </c>
      <c r="D131" s="20">
        <v>5</v>
      </c>
      <c r="E131" s="20" t="s">
        <v>70</v>
      </c>
      <c r="F131" s="20" t="s">
        <v>6</v>
      </c>
      <c r="G131" s="10">
        <f t="shared" si="1"/>
        <v>1830000</v>
      </c>
      <c r="H131" s="7">
        <v>990000</v>
      </c>
      <c r="I131" s="7">
        <f>320000+350000</f>
        <v>670000</v>
      </c>
      <c r="J131" s="7">
        <v>170000</v>
      </c>
      <c r="K131" s="8"/>
      <c r="L131" s="1"/>
      <c r="M131" s="1"/>
      <c r="N131" s="1"/>
    </row>
    <row r="132" spans="1:14" x14ac:dyDescent="0.25">
      <c r="A132" s="18">
        <v>37</v>
      </c>
      <c r="B132" s="16" t="s">
        <v>49</v>
      </c>
      <c r="C132" s="19" t="s">
        <v>72</v>
      </c>
      <c r="D132" s="20">
        <v>10</v>
      </c>
      <c r="E132" s="20" t="s">
        <v>71</v>
      </c>
      <c r="F132" s="20" t="s">
        <v>4</v>
      </c>
      <c r="G132" s="10">
        <f t="shared" si="1"/>
        <v>1995520</v>
      </c>
      <c r="H132" s="7">
        <f>300000+700000</f>
        <v>1000000</v>
      </c>
      <c r="I132" s="7">
        <v>655520</v>
      </c>
      <c r="J132" s="7">
        <v>340000</v>
      </c>
      <c r="K132" s="8"/>
      <c r="L132" s="1"/>
      <c r="M132" s="1"/>
      <c r="N132" s="1"/>
    </row>
    <row r="133" spans="1:14" x14ac:dyDescent="0.25">
      <c r="A133" s="27">
        <v>38</v>
      </c>
      <c r="B133" s="16" t="s">
        <v>49</v>
      </c>
      <c r="C133" s="19" t="s">
        <v>35</v>
      </c>
      <c r="D133" s="20">
        <v>2</v>
      </c>
      <c r="E133" s="30" t="s">
        <v>73</v>
      </c>
      <c r="F133" s="20" t="s">
        <v>6</v>
      </c>
      <c r="G133" s="10">
        <f t="shared" si="1"/>
        <v>1384000</v>
      </c>
      <c r="H133" s="7">
        <v>510000</v>
      </c>
      <c r="I133" s="7">
        <v>806000</v>
      </c>
      <c r="J133" s="7">
        <v>68000</v>
      </c>
      <c r="K133" s="8"/>
      <c r="L133" s="1"/>
      <c r="M133" s="1"/>
      <c r="N133" s="1"/>
    </row>
    <row r="134" spans="1:14" x14ac:dyDescent="0.25">
      <c r="A134" s="29"/>
      <c r="B134" s="16" t="s">
        <v>49</v>
      </c>
      <c r="C134" s="19" t="s">
        <v>35</v>
      </c>
      <c r="D134" s="20">
        <v>3</v>
      </c>
      <c r="E134" s="32"/>
      <c r="F134" s="20" t="s">
        <v>6</v>
      </c>
      <c r="G134" s="10">
        <f t="shared" si="1"/>
        <v>2425700</v>
      </c>
      <c r="H134" s="7">
        <v>1500000</v>
      </c>
      <c r="I134" s="7">
        <f>403000+420700</f>
        <v>823700</v>
      </c>
      <c r="J134" s="7">
        <v>102000</v>
      </c>
      <c r="K134" s="8"/>
      <c r="L134" s="1"/>
      <c r="M134" s="1"/>
      <c r="N134" s="1"/>
    </row>
    <row r="135" spans="1:14" x14ac:dyDescent="0.25">
      <c r="A135" s="18">
        <v>39</v>
      </c>
      <c r="B135" s="16" t="s">
        <v>49</v>
      </c>
      <c r="C135" s="19" t="s">
        <v>35</v>
      </c>
      <c r="D135" s="20">
        <v>5</v>
      </c>
      <c r="E135" s="25" t="s">
        <v>74</v>
      </c>
      <c r="F135" s="20" t="s">
        <v>6</v>
      </c>
      <c r="G135" s="10">
        <f t="shared" si="1"/>
        <v>1811521</v>
      </c>
      <c r="H135" s="7">
        <v>1050000</v>
      </c>
      <c r="I135" s="7">
        <f>420700+170821</f>
        <v>591521</v>
      </c>
      <c r="J135" s="7">
        <v>170000</v>
      </c>
      <c r="K135" s="8"/>
      <c r="L135" s="1"/>
      <c r="M135" s="1"/>
      <c r="N135" s="1"/>
    </row>
    <row r="136" spans="1:14" ht="15.75" thickBot="1" x14ac:dyDescent="0.3">
      <c r="A136" s="18">
        <v>40</v>
      </c>
      <c r="B136" s="16" t="s">
        <v>49</v>
      </c>
      <c r="C136" s="19" t="s">
        <v>35</v>
      </c>
      <c r="D136" s="20">
        <v>2</v>
      </c>
      <c r="E136" s="25" t="s">
        <v>75</v>
      </c>
      <c r="F136" s="20" t="s">
        <v>6</v>
      </c>
      <c r="G136" s="10">
        <f t="shared" si="1"/>
        <v>2484616</v>
      </c>
      <c r="H136" s="7">
        <v>500000</v>
      </c>
      <c r="I136" s="7">
        <f>956782+959834</f>
        <v>1916616</v>
      </c>
      <c r="J136" s="7">
        <v>68000</v>
      </c>
      <c r="K136" s="8"/>
      <c r="L136" s="1"/>
      <c r="M136" s="1"/>
      <c r="N136" s="1"/>
    </row>
    <row r="137" spans="1:14" ht="15.75" thickBot="1" x14ac:dyDescent="0.3">
      <c r="A137" s="47" t="s">
        <v>43</v>
      </c>
      <c r="B137" s="48"/>
      <c r="C137" s="48"/>
      <c r="D137" s="48"/>
      <c r="E137" s="48"/>
      <c r="F137" s="49"/>
      <c r="G137" s="12">
        <f>SUM(G6:G136)</f>
        <v>255167218</v>
      </c>
      <c r="H137" s="12"/>
      <c r="I137" s="12"/>
      <c r="J137" s="12"/>
      <c r="K137" s="12"/>
      <c r="L137" s="1"/>
      <c r="M137" s="1"/>
      <c r="N137" s="1"/>
    </row>
  </sheetData>
  <mergeCells count="69">
    <mergeCell ref="A137:F137"/>
    <mergeCell ref="E67:E69"/>
    <mergeCell ref="B4:B5"/>
    <mergeCell ref="E6:E11"/>
    <mergeCell ref="E12:E22"/>
    <mergeCell ref="E48:E53"/>
    <mergeCell ref="E40:E47"/>
    <mergeCell ref="E54:E58"/>
    <mergeCell ref="E59:E65"/>
    <mergeCell ref="E4:E5"/>
    <mergeCell ref="A67:A69"/>
    <mergeCell ref="C104:C106"/>
    <mergeCell ref="A81:A84"/>
    <mergeCell ref="A86:A88"/>
    <mergeCell ref="A90:A91"/>
    <mergeCell ref="A92:A93"/>
    <mergeCell ref="A94:A96"/>
    <mergeCell ref="A97:A100"/>
    <mergeCell ref="A101:A103"/>
    <mergeCell ref="E23:E29"/>
    <mergeCell ref="E30:E31"/>
    <mergeCell ref="E32:E39"/>
    <mergeCell ref="A1:K1"/>
    <mergeCell ref="A2:K2"/>
    <mergeCell ref="G4:G5"/>
    <mergeCell ref="A4:A5"/>
    <mergeCell ref="C4:C5"/>
    <mergeCell ref="F4:F5"/>
    <mergeCell ref="D4:D5"/>
    <mergeCell ref="H4:K4"/>
    <mergeCell ref="E70:E71"/>
    <mergeCell ref="E72:E76"/>
    <mergeCell ref="E77:E80"/>
    <mergeCell ref="E81:E84"/>
    <mergeCell ref="E86:E88"/>
    <mergeCell ref="E90:E91"/>
    <mergeCell ref="E92:E93"/>
    <mergeCell ref="E94:E96"/>
    <mergeCell ref="E97:E100"/>
    <mergeCell ref="E101:E103"/>
    <mergeCell ref="E104:E106"/>
    <mergeCell ref="C107:C109"/>
    <mergeCell ref="E107:E109"/>
    <mergeCell ref="E111:E116"/>
    <mergeCell ref="E120:E121"/>
    <mergeCell ref="E123:E125"/>
    <mergeCell ref="E126:E128"/>
    <mergeCell ref="E129:E130"/>
    <mergeCell ref="E133:E134"/>
    <mergeCell ref="A6:A10"/>
    <mergeCell ref="A12:A21"/>
    <mergeCell ref="A23:A29"/>
    <mergeCell ref="A30:A31"/>
    <mergeCell ref="A32:A39"/>
    <mergeCell ref="A40:A47"/>
    <mergeCell ref="A48:A52"/>
    <mergeCell ref="A54:A58"/>
    <mergeCell ref="A59:A65"/>
    <mergeCell ref="A70:A71"/>
    <mergeCell ref="A72:A76"/>
    <mergeCell ref="A77:A80"/>
    <mergeCell ref="A126:A128"/>
    <mergeCell ref="A129:A130"/>
    <mergeCell ref="A133:A134"/>
    <mergeCell ref="A104:A106"/>
    <mergeCell ref="A107:A109"/>
    <mergeCell ref="A111:A116"/>
    <mergeCell ref="A120:A121"/>
    <mergeCell ref="A123:A1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Kamalidinov Otabek</dc:creator>
  <cp:lastModifiedBy>Kamalidinov Otabek</cp:lastModifiedBy>
  <dcterms:created xsi:type="dcterms:W3CDTF">2015-06-05T18:19:34Z</dcterms:created>
  <dcterms:modified xsi:type="dcterms:W3CDTF">2024-07-04T13:24:03Z</dcterms:modified>
</cp:coreProperties>
</file>