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-сайт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2-чорак" sheetId="19" r:id="rId2"/>
    <sheet name="Шартномалар" sheetId="12" state="hidden" r:id="rId3"/>
  </sheets>
  <definedNames>
    <definedName name="_xlnm._FilterDatabase" localSheetId="1" hidden="1">'2023 йил 2-чорак'!$C$8:$AE$58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2-чорак'!$5:$8</definedName>
    <definedName name="_xlnm.Print_Titles" localSheetId="0">'Йиллик параметр'!$5:$7</definedName>
    <definedName name="_xlnm.Print_Area" localSheetId="1">'2023 йил 2-чорак'!$B$2:$Q$60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9" l="1"/>
  <c r="K58" i="19"/>
  <c r="C12" i="19" l="1"/>
  <c r="F11" i="19"/>
  <c r="E11" i="19"/>
  <c r="L13" i="19"/>
  <c r="K13" i="19"/>
  <c r="F57" i="19"/>
  <c r="E57" i="19"/>
  <c r="F56" i="19"/>
  <c r="E56" i="19"/>
  <c r="F55" i="19"/>
  <c r="E55" i="19"/>
  <c r="N39" i="19" l="1"/>
  <c r="M39" i="19"/>
  <c r="L39" i="19"/>
  <c r="K39" i="19"/>
  <c r="J15" i="19"/>
  <c r="I15" i="19"/>
  <c r="H15" i="19"/>
  <c r="G15" i="19"/>
  <c r="J14" i="19"/>
  <c r="J17" i="19"/>
  <c r="I17" i="19"/>
  <c r="H17" i="19"/>
  <c r="G17" i="19"/>
  <c r="N37" i="19"/>
  <c r="M37" i="19"/>
  <c r="L37" i="19"/>
  <c r="K37" i="19"/>
  <c r="J37" i="19"/>
  <c r="I37" i="19"/>
  <c r="M36" i="19"/>
  <c r="L36" i="19"/>
  <c r="K36" i="19"/>
  <c r="J36" i="19"/>
  <c r="I36" i="19"/>
  <c r="K53" i="19"/>
  <c r="J53" i="19"/>
  <c r="I53" i="19"/>
  <c r="H53" i="19"/>
  <c r="G53" i="19"/>
  <c r="L49" i="19"/>
  <c r="K49" i="19"/>
  <c r="J49" i="19"/>
  <c r="I49" i="19"/>
  <c r="H49" i="19"/>
  <c r="G49" i="19"/>
  <c r="N46" i="19" l="1"/>
  <c r="M46" i="19"/>
  <c r="L46" i="19"/>
  <c r="K46" i="19"/>
  <c r="J46" i="19"/>
  <c r="I46" i="19"/>
  <c r="H46" i="19"/>
  <c r="G46" i="19"/>
  <c r="E40" i="19" l="1"/>
  <c r="F47" i="19" l="1"/>
  <c r="F48" i="19"/>
  <c r="F49" i="19"/>
  <c r="F50" i="19"/>
  <c r="F51" i="19"/>
  <c r="F52" i="19"/>
  <c r="F53" i="19"/>
  <c r="F54" i="19"/>
  <c r="E47" i="19"/>
  <c r="E48" i="19"/>
  <c r="E49" i="19"/>
  <c r="E50" i="19"/>
  <c r="E51" i="19"/>
  <c r="E52" i="19"/>
  <c r="E53" i="19"/>
  <c r="E54" i="19"/>
  <c r="F10" i="19" l="1"/>
  <c r="F34" i="19" l="1"/>
  <c r="E34" i="19"/>
  <c r="F17" i="19" l="1"/>
  <c r="P9" i="19" l="1"/>
  <c r="O9" i="19"/>
  <c r="J9" i="19"/>
  <c r="I9" i="19"/>
  <c r="H9" i="19"/>
  <c r="G9" i="19"/>
  <c r="L9" i="19"/>
  <c r="K9" i="19"/>
  <c r="F58" i="19"/>
  <c r="E58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F39" i="19"/>
  <c r="E39" i="19"/>
  <c r="F38" i="19"/>
  <c r="E38" i="19"/>
  <c r="F37" i="19"/>
  <c r="E37" i="19"/>
  <c r="F36" i="19"/>
  <c r="E36" i="19"/>
  <c r="F35" i="19"/>
  <c r="E35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E17" i="19"/>
  <c r="F16" i="19"/>
  <c r="E16" i="19"/>
  <c r="F15" i="19"/>
  <c r="E15" i="19"/>
  <c r="F14" i="19"/>
  <c r="E14" i="19"/>
  <c r="F13" i="19"/>
  <c r="E13" i="19"/>
  <c r="N9" i="19"/>
  <c r="M9" i="19"/>
  <c r="F12" i="19"/>
  <c r="E12" i="19"/>
  <c r="C13" i="19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E10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C30" i="19" l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E47" i="15"/>
  <c r="F9" i="19"/>
  <c r="E9" i="19"/>
</calcChain>
</file>

<file path=xl/sharedStrings.xml><?xml version="1.0" encoding="utf-8"?>
<sst xmlns="http://schemas.openxmlformats.org/spreadsheetml/2006/main" count="3980" uniqueCount="1360">
  <si>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</si>
  <si>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</si>
  <si>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</si>
  <si>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</si>
  <si>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</si>
  <si>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</si>
  <si>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</si>
  <si>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</si>
  <si>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</si>
  <si>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</si>
  <si>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</si>
  <si>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</si>
  <si>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</si>
  <si>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</si>
  <si>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</si>
  <si>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</si>
  <si>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</si>
  <si>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</si>
  <si>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</si>
  <si>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</si>
  <si>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</si>
  <si>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</si>
  <si>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</si>
  <si>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</si>
  <si>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</si>
  <si>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</si>
  <si>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</si>
  <si>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</si>
  <si>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</si>
  <si>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</si>
  <si>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</si>
  <si>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</si>
  <si>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</si>
  <si>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</si>
  <si>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</si>
  <si>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</si>
  <si>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</si>
  <si>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</si>
  <si>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</si>
  <si>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</si>
  <si>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</si>
  <si>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</si>
  <si>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</si>
  <si>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</si>
  <si>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</si>
  <si>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</si>
  <si>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</si>
  <si>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</si>
  <si>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</si>
  <si>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</si>
  <si>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</si>
  <si>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</si>
  <si>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</si>
  <si>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</si>
  <si>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</si>
  <si>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</si>
  <si>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</si>
  <si>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</si>
  <si>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</si>
  <si>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</si>
  <si>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</si>
  <si>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</si>
  <si>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</si>
  <si>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</si>
  <si>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</si>
  <si>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</si>
  <si>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</si>
  <si>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</si>
  <si>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</si>
  <si>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</si>
  <si>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</si>
  <si>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</si>
  <si>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</si>
  <si>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</si>
  <si>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</si>
  <si>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</si>
  <si>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</si>
  <si>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</si>
  <si>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</si>
  <si>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</si>
  <si>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</si>
  <si>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</si>
  <si>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</si>
  <si>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</si>
  <si>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</si>
  <si>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</si>
  <si>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</si>
  <si>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</si>
  <si>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</si>
  <si>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</si>
  <si>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</si>
  <si>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</si>
  <si>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</si>
  <si>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</si>
  <si>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</si>
  <si>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</si>
  <si>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</si>
  <si>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</si>
  <si>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</si>
  <si>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</si>
  <si>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</si>
  <si>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</si>
  <si>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</si>
  <si>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</si>
  <si>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</si>
  <si>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</si>
  <si>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</si>
  <si>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</si>
  <si>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</si>
  <si>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</si>
  <si>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</si>
  <si>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</si>
  <si>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</si>
  <si>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</si>
  <si>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</si>
  <si>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</si>
  <si>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</si>
  <si>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</si>
  <si>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</si>
  <si>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</si>
  <si>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</si>
  <si>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</si>
  <si>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</si>
  <si>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</si>
  <si>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</si>
  <si>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</si>
  <si>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</si>
  <si>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</si>
  <si>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</si>
  <si>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</si>
  <si>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</si>
  <si>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</si>
  <si>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</si>
  <si>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</si>
  <si>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</si>
  <si>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</si>
  <si>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</si>
  <si>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</si>
  <si>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</si>
  <si>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</si>
  <si>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</si>
  <si>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</si>
  <si>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</si>
  <si>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</si>
  <si>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</si>
  <si>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</si>
  <si>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</si>
  <si>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</si>
  <si>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</si>
  <si>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</si>
  <si>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</si>
  <si>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</si>
  <si>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</si>
  <si>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</si>
  <si>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</si>
  <si>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</si>
  <si>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</si>
  <si>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</si>
  <si>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</si>
  <si>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</si>
  <si>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</si>
  <si>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</si>
  <si>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</si>
  <si>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</si>
  <si>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</si>
  <si>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</si>
  <si>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</si>
  <si>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</si>
  <si>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</si>
  <si>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</si>
  <si>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</si>
  <si>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</si>
  <si>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</si>
  <si>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</si>
  <si>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</si>
  <si>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</si>
  <si>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</si>
  <si>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</si>
  <si>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</si>
  <si>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</si>
  <si>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</si>
  <si>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</si>
  <si>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</si>
  <si>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</si>
  <si>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</si>
  <si>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</si>
  <si>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</si>
  <si>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</si>
  <si>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</si>
  <si>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</si>
  <si>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</si>
  <si>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</si>
  <si>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</si>
  <si>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</si>
  <si>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</si>
  <si>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</si>
  <si>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</si>
  <si>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</si>
  <si>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</si>
  <si>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</si>
  <si>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</si>
  <si>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</si>
  <si>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</si>
  <si>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</si>
  <si>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</si>
  <si>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</si>
  <si>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</si>
  <si>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</si>
  <si>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</si>
  <si>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</si>
  <si>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</si>
  <si>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</si>
  <si>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</si>
  <si>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</si>
  <si>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</si>
  <si>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</si>
  <si>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</si>
  <si>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</si>
  <si>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</si>
  <si>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</si>
  <si>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</si>
  <si>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</si>
  <si>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</si>
  <si>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</si>
  <si>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</si>
  <si>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</si>
  <si>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</si>
  <si>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</si>
  <si>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</si>
  <si>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</si>
  <si>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</si>
  <si>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</si>
  <si>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</si>
  <si>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</si>
  <si>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</si>
  <si>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</si>
  <si>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</si>
  <si>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</si>
  <si>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</si>
  <si>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</si>
  <si>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</si>
  <si>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</si>
  <si>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</si>
  <si>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</si>
  <si>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</si>
  <si>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</si>
  <si>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</si>
  <si>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</si>
  <si>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</si>
  <si>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</si>
  <si>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</si>
  <si>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</si>
  <si>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</si>
  <si>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</si>
  <si>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</si>
  <si>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</si>
  <si>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</si>
  <si>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</si>
  <si>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</si>
  <si>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</si>
  <si>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</si>
  <si>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</si>
  <si>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</si>
  <si>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</si>
  <si>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</si>
  <si>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</si>
  <si>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</si>
  <si>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</si>
  <si>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</si>
  <si>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</si>
  <si>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</si>
  <si>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</si>
  <si>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</si>
  <si>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</si>
  <si>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</si>
  <si>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</si>
  <si>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</si>
  <si>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</si>
  <si>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</si>
  <si>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</si>
  <si>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</si>
  <si>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</si>
  <si>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</si>
  <si>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</si>
  <si>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</si>
  <si>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</si>
  <si>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</si>
  <si>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</si>
  <si>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</si>
  <si>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</si>
  <si>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</si>
  <si>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</si>
  <si>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</si>
  <si>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</si>
  <si>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</si>
  <si>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</si>
  <si>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</si>
  <si>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</si>
  <si>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</si>
  <si>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</si>
  <si>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</si>
  <si>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</si>
  <si>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</si>
  <si>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</si>
  <si>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</si>
  <si>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</si>
  <si>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</si>
  <si>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</si>
  <si>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</si>
  <si>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</si>
  <si>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</si>
  <si>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</si>
  <si>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</si>
  <si>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</si>
  <si>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</si>
  <si>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</si>
  <si>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</si>
  <si>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</si>
  <si>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</si>
  <si>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</si>
  <si>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</si>
  <si>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</si>
  <si>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</si>
  <si>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</si>
  <si>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</si>
  <si>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</si>
  <si>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</si>
  <si>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</si>
  <si>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</si>
  <si>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</si>
  <si>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</si>
  <si>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</si>
  <si>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</si>
  <si>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</si>
  <si>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</si>
  <si>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</si>
  <si>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</si>
  <si>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</si>
  <si>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</si>
  <si>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</si>
  <si>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</si>
  <si>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</si>
  <si>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</si>
  <si>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</si>
  <si>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</si>
  <si>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</si>
  <si>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</si>
  <si>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</si>
  <si>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</si>
  <si>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</si>
  <si>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</si>
  <si>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</si>
  <si>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</si>
  <si>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</si>
  <si>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</si>
  <si>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</si>
  <si>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</si>
  <si>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</si>
  <si>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</si>
  <si>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</si>
  <si>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</si>
  <si>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</si>
  <si>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</si>
  <si>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</si>
  <si>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</si>
  <si>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</si>
  <si>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</si>
  <si>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</si>
  <si>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</si>
  <si>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</si>
  <si>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</si>
  <si>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</si>
  <si>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</si>
  <si>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</si>
  <si>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</si>
  <si>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</si>
  <si>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</si>
  <si>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</si>
  <si>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</si>
  <si>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</si>
  <si>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</si>
  <si>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</si>
  <si>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</si>
  <si>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</si>
  <si>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</si>
  <si>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</si>
  <si>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</si>
  <si>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</si>
  <si>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</si>
  <si>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</si>
  <si>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</si>
  <si>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</si>
  <si>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</si>
  <si>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</si>
  <si>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</si>
  <si>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</si>
  <si>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</si>
  <si>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</si>
  <si>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</si>
  <si>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</si>
  <si>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</si>
  <si>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</si>
  <si>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</si>
  <si>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</si>
  <si>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</si>
  <si>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</si>
  <si>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</si>
  <si>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</si>
  <si>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</si>
  <si>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</si>
  <si>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</si>
  <si>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</si>
  <si>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</si>
  <si>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</si>
  <si>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</si>
  <si>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</si>
  <si>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</si>
  <si>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</si>
  <si>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</si>
  <si>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</si>
  <si>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</si>
  <si>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</si>
  <si>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</si>
  <si>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</si>
  <si>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</si>
  <si>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</si>
  <si>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</si>
  <si>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</si>
  <si>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</si>
  <si>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</si>
  <si>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</si>
  <si>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</si>
  <si>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</si>
  <si>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</si>
  <si>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</si>
  <si>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</si>
  <si>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</si>
  <si>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</si>
  <si>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</si>
  <si>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</si>
  <si>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</si>
  <si>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</si>
  <si>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</si>
  <si>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</si>
  <si>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</si>
  <si>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</si>
  <si>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</si>
  <si>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</si>
  <si>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</si>
  <si>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</si>
  <si>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</si>
  <si>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</si>
  <si>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</si>
  <si>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</si>
  <si>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</si>
  <si>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</si>
  <si>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</si>
  <si>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</si>
  <si>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</si>
  <si>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</si>
  <si>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</si>
  <si>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</si>
  <si>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</si>
  <si>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</si>
  <si>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</si>
  <si>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</si>
  <si>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</si>
  <si>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</si>
  <si>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</si>
  <si>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</si>
  <si>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</si>
  <si>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</si>
  <si>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</si>
  <si>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</si>
  <si>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</si>
  <si>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</si>
  <si>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</si>
  <si>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</si>
  <si>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</si>
  <si>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</si>
  <si>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</si>
  <si>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</si>
  <si>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</si>
  <si>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</si>
  <si>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</si>
  <si>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</si>
  <si>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</si>
  <si>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</si>
  <si>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</si>
  <si>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</si>
  <si>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</si>
  <si>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</si>
  <si>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</si>
  <si>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</si>
  <si>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</si>
  <si>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</si>
  <si>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</si>
  <si>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</si>
  <si>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</si>
  <si>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</si>
  <si>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</si>
  <si>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</si>
  <si>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</si>
  <si>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</si>
  <si>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</si>
  <si>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</si>
  <si>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</si>
  <si>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</si>
  <si>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</si>
  <si>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</si>
  <si>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</si>
  <si>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</si>
  <si>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</si>
  <si>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</si>
  <si>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</si>
  <si>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</si>
  <si>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</si>
  <si>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</si>
  <si>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</si>
  <si>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</si>
  <si>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</si>
  <si>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</si>
  <si>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</si>
  <si>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</si>
  <si>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</si>
  <si>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</si>
  <si>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</si>
  <si>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</si>
  <si>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</si>
  <si>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</si>
  <si>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</si>
  <si>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</si>
  <si>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</si>
  <si>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</si>
  <si>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</si>
  <si>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</si>
  <si>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</si>
  <si>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</si>
  <si>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</si>
  <si>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</si>
  <si>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</si>
  <si>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</si>
  <si>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</si>
  <si>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</si>
  <si>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</si>
  <si>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</si>
  <si>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</si>
  <si>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</si>
  <si>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</si>
  <si>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</si>
  <si>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</si>
  <si>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</si>
  <si>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</si>
  <si>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</si>
  <si>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</si>
  <si>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</si>
  <si>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</si>
  <si>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</si>
  <si>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</si>
  <si>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</si>
  <si>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</si>
  <si>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</si>
  <si>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</si>
  <si>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</si>
  <si>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</si>
  <si>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</si>
  <si>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</si>
  <si>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</si>
  <si>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</si>
  <si>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</si>
  <si>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</si>
  <si>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</si>
  <si>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</si>
  <si>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</si>
  <si>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</si>
  <si>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</si>
  <si>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</si>
  <si>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</si>
  <si>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</si>
  <si>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</si>
  <si>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</si>
  <si>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</si>
  <si>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</si>
  <si>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</si>
  <si>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</si>
  <si>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</si>
  <si>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</si>
  <si>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</si>
  <si>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</si>
  <si>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</si>
  <si>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</si>
  <si>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</si>
  <si>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</si>
  <si>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</si>
  <si>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</si>
  <si>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</si>
  <si>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</si>
  <si>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</si>
  <si>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</si>
  <si>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</si>
  <si>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</si>
  <si>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</si>
  <si>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</si>
  <si>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</si>
  <si>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</si>
  <si>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</si>
  <si>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</si>
  <si>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</si>
  <si>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</si>
  <si>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</si>
  <si>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</si>
  <si>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</si>
  <si>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</si>
  <si>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</si>
  <si>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</si>
  <si>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</si>
  <si>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</si>
  <si>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</si>
  <si>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</si>
  <si>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</si>
  <si>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</si>
  <si>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</si>
  <si>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</si>
  <si>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</si>
  <si>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</si>
  <si>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</si>
  <si>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</si>
  <si>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</si>
  <si>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</si>
  <si>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</si>
  <si>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</si>
  <si>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</si>
  <si>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</si>
  <si>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</si>
  <si>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</si>
  <si>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</si>
  <si>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</si>
  <si>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</si>
  <si>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</si>
  <si>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</si>
  <si>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</si>
  <si>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</si>
  <si>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</si>
  <si>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</si>
  <si>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</si>
  <si>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</si>
  <si>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</si>
  <si>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</si>
  <si>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</si>
  <si>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</si>
  <si>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</si>
  <si>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</si>
  <si>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</si>
  <si>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</si>
  <si>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</si>
  <si>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</si>
  <si>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</si>
  <si>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</si>
  <si>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</si>
  <si>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</si>
  <si>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</si>
  <si>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</si>
  <si>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</si>
  <si>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</si>
  <si>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</si>
  <si>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</si>
  <si>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</si>
  <si>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</si>
  <si>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</si>
  <si>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</si>
  <si>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</si>
  <si>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</si>
  <si>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</si>
  <si>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</si>
  <si>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</si>
  <si>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</si>
  <si>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</si>
  <si>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</si>
  <si>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</si>
  <si>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</si>
  <si>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</si>
  <si>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</si>
  <si>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</si>
  <si>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</si>
  <si>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</si>
  <si>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</si>
  <si>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</si>
  <si>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</si>
  <si>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</si>
  <si>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</si>
  <si>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</si>
  <si>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</si>
  <si>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</si>
  <si>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</si>
  <si>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</si>
  <si>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</si>
  <si>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</si>
  <si>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</si>
  <si>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</si>
  <si>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</si>
  <si>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</si>
  <si>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</si>
  <si>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</si>
  <si>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</si>
  <si>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</si>
  <si>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</si>
  <si>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</si>
  <si>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</si>
  <si>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</si>
  <si>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</si>
  <si>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</si>
  <si>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</si>
  <si>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</si>
  <si>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</si>
  <si>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</si>
  <si>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</si>
  <si>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</si>
  <si>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</si>
  <si>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</si>
  <si>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</si>
  <si>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</si>
  <si>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</si>
  <si>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</si>
  <si>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</si>
  <si>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</si>
  <si>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</si>
  <si>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</si>
  <si>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</si>
  <si>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</si>
  <si>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</si>
  <si>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</si>
  <si>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</si>
  <si>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</si>
  <si>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</si>
  <si>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</si>
  <si>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</si>
  <si>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</si>
  <si>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</si>
  <si>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</si>
  <si>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</si>
  <si>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</si>
  <si>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</si>
  <si>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</si>
  <si>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</si>
  <si>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</si>
  <si>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</si>
  <si>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</si>
  <si>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</si>
  <si>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</si>
  <si>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</si>
  <si>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</si>
  <si>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</si>
  <si>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</si>
  <si>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</si>
  <si>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</si>
  <si>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</si>
  <si>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</si>
  <si>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</si>
  <si>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</si>
  <si>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</si>
  <si>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</si>
  <si>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</si>
  <si>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</si>
  <si>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</si>
  <si>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</si>
  <si>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</si>
  <si>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</si>
  <si>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</si>
  <si>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</si>
  <si>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</si>
  <si>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</si>
  <si>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</si>
  <si>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</si>
  <si>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</si>
  <si>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</si>
  <si>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</si>
  <si>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</si>
  <si>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</si>
  <si>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</si>
  <si>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</si>
  <si>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</si>
  <si>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</si>
  <si>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</si>
  <si>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</si>
  <si>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</si>
  <si>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</si>
  <si>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</si>
  <si>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</si>
  <si>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</si>
  <si>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</si>
  <si>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</si>
  <si>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</si>
  <si>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</si>
  <si>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</si>
  <si>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</si>
  <si>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</si>
  <si>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</si>
  <si>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</si>
  <si>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</si>
  <si>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</si>
  <si>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</si>
  <si>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</si>
  <si>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</si>
  <si>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</si>
  <si>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</si>
  <si>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</si>
  <si>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</si>
  <si>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</si>
  <si>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</si>
  <si>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</si>
  <si>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</si>
  <si>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</si>
  <si>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</si>
  <si>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</si>
  <si>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</si>
  <si>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</si>
  <si>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</si>
  <si>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</si>
  <si>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</si>
  <si>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</si>
  <si>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</si>
  <si>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</si>
  <si>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</si>
  <si>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</si>
  <si>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</si>
  <si>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</si>
  <si>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</si>
  <si>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</si>
  <si>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</si>
  <si>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</si>
  <si>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</si>
  <si>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</si>
  <si>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</si>
  <si>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</si>
  <si>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</si>
  <si>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</si>
  <si>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</si>
  <si>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</si>
  <si>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</si>
  <si>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</si>
  <si>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</si>
  <si>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</si>
  <si>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</si>
  <si>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</si>
  <si>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</si>
  <si>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</si>
  <si>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</si>
  <si>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</si>
  <si>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</si>
  <si>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</si>
  <si>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</si>
  <si>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</si>
  <si>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</si>
  <si>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</si>
  <si>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</si>
  <si>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</si>
  <si>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</si>
  <si>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</si>
  <si>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</si>
  <si>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</si>
  <si>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</si>
  <si>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</si>
  <si>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</si>
  <si>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</si>
  <si>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</si>
  <si>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</si>
  <si>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</si>
  <si>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</si>
  <si>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</si>
  <si>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</si>
  <si>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</si>
  <si>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</si>
  <si>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</si>
  <si>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</si>
  <si>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</si>
  <si>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</si>
  <si>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</si>
  <si>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</si>
  <si>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</si>
  <si>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</si>
  <si>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</si>
  <si>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</si>
  <si>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</si>
  <si>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</si>
  <si>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</si>
  <si>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</si>
  <si>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</si>
  <si>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</si>
  <si>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</si>
  <si>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</si>
  <si>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</si>
  <si>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</si>
  <si>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</si>
  <si>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</si>
  <si>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</si>
  <si>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</si>
  <si>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</si>
  <si>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</si>
  <si>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</si>
  <si>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</si>
  <si>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</si>
  <si>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</si>
  <si>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</si>
  <si>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</si>
  <si>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</si>
  <si>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</si>
  <si>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</si>
  <si>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</si>
  <si>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</si>
  <si>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</si>
  <si>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</si>
  <si>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</si>
  <si>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</si>
  <si>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</si>
  <si>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</si>
  <si>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</si>
  <si>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</si>
  <si>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</si>
  <si>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</si>
  <si>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</si>
  <si>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</si>
  <si>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</si>
  <si>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</si>
  <si>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</si>
  <si>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</si>
  <si>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</si>
  <si>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</si>
  <si>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</si>
  <si>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</si>
  <si>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</si>
  <si>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</si>
  <si>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</si>
  <si>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</si>
  <si>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</si>
  <si>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</si>
  <si>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</si>
  <si>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</si>
  <si>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</si>
  <si>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</si>
  <si>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</si>
  <si>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</si>
  <si>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</si>
  <si>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</si>
  <si>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</si>
  <si>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</si>
  <si>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</si>
  <si>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</si>
  <si>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</si>
  <si>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</si>
  <si>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</si>
  <si>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</si>
  <si>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</si>
  <si>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</si>
  <si>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</si>
  <si>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</si>
  <si>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</si>
  <si>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</si>
  <si>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</si>
  <si>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</si>
  <si>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</si>
  <si>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</si>
  <si>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</si>
  <si>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</si>
  <si>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</si>
  <si>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</si>
  <si>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</si>
  <si>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</si>
  <si>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</si>
  <si>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</si>
  <si>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</si>
  <si>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</si>
  <si>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</si>
  <si>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</si>
  <si>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</si>
  <si>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</si>
  <si>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</si>
  <si>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</si>
  <si>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</si>
  <si>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</si>
  <si>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</si>
  <si>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</si>
  <si>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</si>
  <si>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</si>
  <si>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</si>
  <si>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</si>
  <si>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</si>
  <si>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</si>
  <si>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</si>
  <si>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</si>
  <si>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</si>
  <si>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</si>
  <si>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</si>
  <si>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</si>
  <si>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</si>
  <si>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</si>
  <si>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</si>
  <si>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</si>
  <si>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</si>
  <si>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</si>
  <si>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</si>
  <si>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</si>
  <si>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</si>
  <si>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</si>
  <si>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</si>
  <si>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</si>
  <si>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</si>
  <si>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</si>
  <si>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</si>
  <si>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</si>
  <si>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</si>
  <si>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</si>
  <si>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</si>
  <si>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</si>
  <si>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</si>
  <si>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</si>
  <si>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</si>
  <si>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</si>
  <si>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</si>
  <si>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</si>
  <si>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</si>
  <si>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</si>
  <si>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</si>
  <si>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</si>
  <si>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</si>
  <si>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</si>
  <si>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</si>
  <si>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</si>
  <si>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</si>
  <si>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</si>
  <si>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</si>
  <si>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</si>
  <si>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</si>
  <si>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</si>
  <si>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</si>
  <si>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</si>
  <si>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</si>
  <si>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</si>
  <si>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</si>
  <si>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</si>
  <si>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</si>
  <si>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</si>
  <si>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</si>
  <si>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</si>
  <si>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</si>
  <si>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</si>
  <si>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</si>
  <si>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</si>
  <si>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</si>
  <si>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</si>
  <si>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</si>
  <si>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</si>
  <si>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</si>
  <si>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</si>
  <si>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</si>
  <si>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</si>
  <si>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</si>
  <si>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</si>
  <si>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</si>
  <si>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</si>
  <si>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</si>
  <si>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</si>
  <si>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</si>
  <si>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</si>
  <si>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</si>
  <si>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</si>
  <si>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</si>
  <si>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</si>
  <si>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</si>
  <si>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</si>
  <si>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</si>
  <si>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</si>
  <si>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</si>
  <si>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</si>
  <si>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</si>
  <si>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</si>
  <si>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</si>
  <si>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</si>
  <si>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</si>
  <si>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</si>
  <si>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</si>
  <si>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</si>
  <si>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</si>
  <si>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</si>
  <si>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</si>
  <si>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</si>
  <si>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</si>
  <si>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</si>
  <si>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</si>
  <si>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</si>
  <si>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</si>
  <si>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</si>
  <si>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</si>
  <si>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</si>
  <si>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</si>
  <si>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</si>
  <si>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</si>
  <si>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</si>
  <si>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</si>
  <si>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</si>
  <si>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</si>
  <si>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</si>
  <si>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</si>
  <si>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</si>
  <si>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</si>
  <si>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</si>
  <si>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</si>
  <si>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</si>
  <si>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</si>
  <si>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</si>
  <si>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</si>
  <si>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</si>
  <si>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</si>
  <si>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</si>
  <si>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</si>
  <si>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</si>
  <si>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</si>
  <si>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</si>
  <si>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</si>
  <si>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</si>
  <si>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</si>
  <si>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</si>
  <si>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</si>
  <si>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</si>
  <si>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</si>
  <si>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</si>
  <si>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</si>
  <si>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</si>
  <si>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</si>
  <si>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</si>
  <si>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</si>
  <si>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</si>
  <si>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</si>
  <si>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</si>
  <si>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</si>
  <si>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</si>
  <si>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</si>
  <si>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</si>
  <si>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</si>
  <si>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</si>
  <si>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</si>
  <si>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</si>
  <si>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</si>
  <si>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</si>
  <si>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</si>
  <si>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</si>
  <si>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</si>
  <si>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</si>
  <si>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</si>
  <si>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</si>
  <si>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</si>
  <si>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</si>
  <si>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</si>
  <si>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</si>
  <si>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</si>
  <si>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</si>
  <si>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</si>
  <si>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</si>
  <si>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</si>
  <si>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</si>
  <si>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</si>
  <si>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</si>
  <si>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</si>
  <si>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</si>
  <si>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</si>
  <si>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</si>
  <si>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</si>
  <si>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</si>
  <si>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</si>
  <si>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</si>
  <si>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</si>
  <si>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</si>
  <si>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</si>
  <si>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</si>
  <si>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</si>
  <si>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</si>
  <si>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</si>
  <si>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</si>
  <si>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</si>
  <si>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</si>
  <si>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</si>
  <si>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</si>
  <si>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</si>
  <si>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</si>
  <si>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</si>
  <si>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</si>
  <si>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</si>
  <si>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</si>
  <si>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</si>
  <si>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</si>
  <si>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</si>
  <si>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</si>
  <si>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</si>
  <si>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</si>
  <si>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</si>
  <si>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</si>
  <si>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</si>
  <si>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</si>
  <si>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</si>
  <si>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</si>
  <si>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</si>
  <si>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</si>
  <si>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</si>
  <si>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</si>
  <si>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</si>
  <si>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</si>
  <si>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</si>
  <si>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</si>
  <si>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</si>
  <si>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</si>
  <si>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</si>
  <si>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</si>
  <si>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</si>
  <si>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</si>
  <si>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</si>
  <si>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</si>
  <si>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</si>
  <si>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</si>
  <si>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</si>
  <si>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</si>
  <si>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</si>
  <si>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</si>
  <si>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</si>
  <si>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</si>
  <si>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</si>
  <si>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</si>
  <si>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</si>
  <si>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</si>
  <si>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</si>
  <si>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</si>
  <si>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</si>
  <si>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</si>
  <si>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</si>
  <si>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</si>
  <si>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</si>
  <si>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</si>
  <si>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</si>
  <si>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</si>
  <si>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</si>
  <si>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</si>
  <si>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</si>
  <si>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</si>
  <si>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</si>
  <si>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</si>
  <si>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</si>
  <si>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</si>
  <si>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</si>
  <si>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</si>
  <si>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</si>
  <si>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</si>
  <si>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</si>
  <si>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</si>
  <si>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</si>
  <si>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</si>
  <si>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</si>
  <si>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</si>
  <si>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</si>
  <si>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</si>
  <si>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</si>
  <si>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</si>
  <si>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</si>
  <si>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</si>
  <si>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</si>
  <si>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</si>
  <si>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</si>
  <si>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</si>
  <si>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</si>
  <si>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</si>
  <si>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</si>
  <si>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</si>
  <si>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</si>
  <si>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</si>
  <si>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</si>
  <si>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</si>
  <si>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</si>
  <si>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</si>
  <si>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</si>
  <si>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</si>
  <si>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</si>
  <si>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</si>
  <si>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</si>
  <si>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</si>
  <si>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</si>
  <si>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</si>
  <si>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</si>
  <si>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</si>
  <si>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</si>
  <si>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</si>
  <si>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</si>
  <si>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</si>
  <si>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</si>
  <si>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</si>
  <si>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</si>
  <si>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</si>
  <si>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</si>
  <si>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</si>
  <si>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</si>
  <si>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</si>
  <si>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</si>
  <si>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</si>
  <si>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</si>
  <si>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</si>
  <si>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</si>
  <si>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</si>
  <si>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</si>
  <si>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</si>
  <si>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</si>
  <si>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</si>
  <si>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</si>
  <si>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</si>
  <si>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</si>
  <si>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</si>
  <si>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</si>
  <si>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</si>
  <si>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</si>
  <si>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</si>
  <si>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</si>
  <si>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</si>
  <si>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</si>
  <si>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</si>
  <si>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</si>
  <si>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</si>
  <si>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</si>
  <si>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</si>
  <si>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</si>
  <si>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</si>
  <si>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</si>
  <si>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</si>
  <si>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</si>
  <si>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</si>
  <si>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</si>
  <si>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</si>
  <si>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</si>
  <si>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</si>
  <si>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</si>
  <si>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</si>
  <si>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</si>
  <si>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</si>
  <si>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</si>
  <si>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</si>
  <si>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</si>
  <si>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</si>
  <si>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</si>
  <si>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</si>
  <si>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</si>
  <si>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</si>
  <si>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</si>
  <si>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</si>
  <si>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</si>
  <si>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</si>
  <si>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</si>
  <si>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</si>
  <si>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</si>
  <si>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</si>
  <si>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t>Ўзбекистон Республикаси Мактабгача ва мактаб таълими вазири жамғармаси  ҳамдаТаълим соҳасидаги ислоҳатларга кўмаклашиш жамғармаси</t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</si>
  <si>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</si>
  <si>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("Таъминот ва логистика" ДУК орқали)</t>
    </r>
  </si>
  <si>
    <t>Мактабгача ва мактаб таълими вазирлигининг марказлаштирилган тадбирлар ва марказлашган харажатлар бўйича харажатлари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</si>
  <si>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</si>
  <si>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</si>
  <si>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r>
      <rPr>
        <b/>
        <u/>
        <sz val="16"/>
        <color rgb="FFC00000"/>
        <rFont val="Arial"/>
        <family val="2"/>
        <charset val="204"/>
      </rPr>
      <t xml:space="preserve">2023 йил биринчи ярим йиллигида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</si>
</sst>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2" fillId="0" borderId="30" xfId="0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4" fontId="12" fillId="0" borderId="32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wrapText="1"/>
    </xf>
    <xf numFmtId="14" fontId="13" fillId="0" borderId="33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wrapText="1"/>
    </xf>
    <xf numFmtId="0" fontId="13" fillId="2" borderId="33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3" fillId="2" borderId="33" xfId="0" applyNumberFormat="1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left" vertical="top" wrapText="1"/>
    </xf>
    <xf numFmtId="0" fontId="14" fillId="0" borderId="0" xfId="0" applyFont="1"/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0" fontId="15" fillId="0" borderId="0" xfId="0" applyFont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indent="1"/>
    </xf>
    <xf numFmtId="3" fontId="3" fillId="0" borderId="6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3" fontId="8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/>
    <xf numFmtId="3" fontId="11" fillId="0" borderId="0" xfId="0" applyNumberFormat="1" applyFont="1" applyFill="1" applyAlignment="1">
      <alignment horizontal="right" vertical="top" wrapText="1"/>
    </xf>
    <xf numFmtId="3" fontId="18" fillId="0" borderId="0" xfId="0" applyNumberFormat="1" applyFont="1" applyFill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23" fillId="0" borderId="20" xfId="0" applyNumberFormat="1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left" vertical="top" wrapText="1"/>
    </xf>
    <xf numFmtId="0" fontId="8" fillId="0" borderId="0" xfId="0" applyFont="1" applyFill="1"/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left" vertical="center" wrapText="1" indent="2"/>
    </xf>
    <xf numFmtId="3" fontId="8" fillId="0" borderId="17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left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164" fontId="9" fillId="0" borderId="38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64" fontId="24" fillId="0" borderId="5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left" vertical="center" indent="2"/>
    </xf>
    <xf numFmtId="3" fontId="9" fillId="0" borderId="8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Fill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23" fillId="0" borderId="20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26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3" fontId="8" fillId="0" borderId="29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24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Fill="1" applyBorder="1" applyAlignment="1">
      <alignment horizontal="center" vertical="center" wrapText="1"/>
    </xf>
    <xf numFmtId="3" fontId="18" fillId="0" borderId="24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8" t="s">
        <v>1300</v>
      </c>
      <c r="D3" s="88"/>
      <c r="E3" s="88"/>
      <c r="F3" s="88"/>
      <c r="G3" s="88"/>
      <c r="H3" s="88"/>
      <c r="I3" s="88"/>
      <c r="J3" s="88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89" t="s">
        <v>5</v>
      </c>
      <c r="D5" s="92" t="s">
        <v>4</v>
      </c>
      <c r="E5" s="92" t="s">
        <v>1302</v>
      </c>
      <c r="F5" s="92"/>
      <c r="G5" s="92"/>
      <c r="H5" s="92"/>
      <c r="I5" s="95"/>
      <c r="J5" s="96"/>
      <c r="K5" s="33"/>
      <c r="L5" s="33"/>
      <c r="M5" s="33"/>
    </row>
    <row r="6" spans="3:32" ht="25.5" customHeight="1" x14ac:dyDescent="0.3">
      <c r="C6" s="90"/>
      <c r="D6" s="93"/>
      <c r="E6" s="97" t="s">
        <v>3</v>
      </c>
      <c r="F6" s="99" t="s">
        <v>0</v>
      </c>
      <c r="G6" s="99"/>
      <c r="H6" s="99"/>
      <c r="I6" s="100"/>
      <c r="J6" s="101"/>
    </row>
    <row r="7" spans="3:32" ht="124.5" customHeight="1" x14ac:dyDescent="0.3">
      <c r="C7" s="91"/>
      <c r="D7" s="94"/>
      <c r="E7" s="98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6" t="s">
        <v>1259</v>
      </c>
      <c r="D47" s="87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3:AE68"/>
  <sheetViews>
    <sheetView tabSelected="1" view="pageBreakPreview" zoomScale="55" zoomScaleNormal="55" zoomScaleSheetLayoutView="5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11" sqref="M11"/>
    </sheetView>
  </sheetViews>
  <sheetFormatPr defaultRowHeight="18" x14ac:dyDescent="0.25"/>
  <cols>
    <col min="1" max="1" width="9.140625" style="53"/>
    <col min="2" max="2" width="2.140625" style="53" customWidth="1"/>
    <col min="3" max="3" width="5.85546875" style="52" customWidth="1"/>
    <col min="4" max="4" width="93" style="52" customWidth="1"/>
    <col min="5" max="6" width="21.5703125" style="52" customWidth="1"/>
    <col min="7" max="7" width="23.5703125" style="52" customWidth="1"/>
    <col min="8" max="8" width="23.140625" style="52" customWidth="1"/>
    <col min="9" max="16" width="21.28515625" style="52" customWidth="1"/>
    <col min="17" max="17" width="3" style="52" customWidth="1"/>
    <col min="18" max="19" width="15.7109375" style="52" customWidth="1"/>
    <col min="20" max="31" width="9.140625" style="52"/>
    <col min="32" max="16384" width="9.140625" style="53"/>
  </cols>
  <sheetData>
    <row r="3" spans="3:31" ht="61.5" customHeight="1" x14ac:dyDescent="0.25">
      <c r="C3" s="104" t="s">
        <v>1359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1"/>
    </row>
    <row r="4" spans="3:31" ht="17.25" customHeight="1" x14ac:dyDescent="0.25">
      <c r="P4" s="54" t="s">
        <v>1337</v>
      </c>
      <c r="Q4" s="54"/>
    </row>
    <row r="5" spans="3:31" ht="57" customHeight="1" x14ac:dyDescent="0.25">
      <c r="C5" s="105" t="s">
        <v>5</v>
      </c>
      <c r="D5" s="108" t="s">
        <v>1336</v>
      </c>
      <c r="E5" s="111" t="s">
        <v>1342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51"/>
    </row>
    <row r="6" spans="3:31" ht="34.5" customHeight="1" x14ac:dyDescent="0.25">
      <c r="C6" s="106"/>
      <c r="D6" s="109"/>
      <c r="E6" s="114" t="s">
        <v>1339</v>
      </c>
      <c r="F6" s="115"/>
      <c r="G6" s="116" t="s">
        <v>0</v>
      </c>
      <c r="H6" s="117"/>
      <c r="I6" s="117"/>
      <c r="J6" s="117"/>
      <c r="K6" s="117"/>
      <c r="L6" s="117"/>
      <c r="M6" s="117"/>
      <c r="N6" s="117"/>
      <c r="O6" s="117"/>
      <c r="P6" s="118"/>
      <c r="Q6" s="55"/>
    </row>
    <row r="7" spans="3:31" ht="126.75" customHeight="1" x14ac:dyDescent="0.25">
      <c r="C7" s="106"/>
      <c r="D7" s="109"/>
      <c r="E7" s="119" t="s">
        <v>1296</v>
      </c>
      <c r="F7" s="121" t="s">
        <v>1297</v>
      </c>
      <c r="G7" s="106" t="s">
        <v>1</v>
      </c>
      <c r="H7" s="123"/>
      <c r="I7" s="123" t="s">
        <v>1310</v>
      </c>
      <c r="J7" s="123"/>
      <c r="K7" s="123" t="s">
        <v>2</v>
      </c>
      <c r="L7" s="123"/>
      <c r="M7" s="124" t="s">
        <v>1341</v>
      </c>
      <c r="N7" s="125"/>
      <c r="O7" s="123" t="s">
        <v>1340</v>
      </c>
      <c r="P7" s="126"/>
      <c r="Q7" s="51"/>
    </row>
    <row r="8" spans="3:31" ht="65.25" customHeight="1" x14ac:dyDescent="0.25">
      <c r="C8" s="107"/>
      <c r="D8" s="110"/>
      <c r="E8" s="120"/>
      <c r="F8" s="122"/>
      <c r="G8" s="56" t="s">
        <v>1296</v>
      </c>
      <c r="H8" s="57" t="s">
        <v>1297</v>
      </c>
      <c r="I8" s="57" t="s">
        <v>1296</v>
      </c>
      <c r="J8" s="57" t="s">
        <v>1297</v>
      </c>
      <c r="K8" s="57" t="s">
        <v>1296</v>
      </c>
      <c r="L8" s="57" t="s">
        <v>1297</v>
      </c>
      <c r="M8" s="57" t="s">
        <v>1296</v>
      </c>
      <c r="N8" s="57" t="s">
        <v>1297</v>
      </c>
      <c r="O8" s="57" t="s">
        <v>1296</v>
      </c>
      <c r="P8" s="58" t="s">
        <v>1297</v>
      </c>
      <c r="Q8" s="51"/>
    </row>
    <row r="9" spans="3:31" s="64" customFormat="1" ht="51.75" customHeight="1" x14ac:dyDescent="0.25">
      <c r="C9" s="102" t="s">
        <v>1259</v>
      </c>
      <c r="D9" s="103"/>
      <c r="E9" s="59">
        <f t="shared" ref="E9:P9" si="0">SUM(E10:E58)</f>
        <v>11424368670.84524</v>
      </c>
      <c r="F9" s="60">
        <f t="shared" si="0"/>
        <v>10737383109.183376</v>
      </c>
      <c r="G9" s="59">
        <f t="shared" si="0"/>
        <v>8223142120.46245</v>
      </c>
      <c r="H9" s="61">
        <f t="shared" si="0"/>
        <v>8146602241.4047089</v>
      </c>
      <c r="I9" s="61">
        <f t="shared" si="0"/>
        <v>2103934309.27579</v>
      </c>
      <c r="J9" s="61">
        <f t="shared" si="0"/>
        <v>2098084184.19982</v>
      </c>
      <c r="K9" s="61">
        <f t="shared" si="0"/>
        <v>1097292241.1069999</v>
      </c>
      <c r="L9" s="61">
        <f t="shared" si="0"/>
        <v>492696683.57885003</v>
      </c>
      <c r="M9" s="61">
        <f t="shared" si="0"/>
        <v>512389</v>
      </c>
      <c r="N9" s="61">
        <f t="shared" si="0"/>
        <v>404507.00212000002</v>
      </c>
      <c r="O9" s="61">
        <f t="shared" si="0"/>
        <v>0</v>
      </c>
      <c r="P9" s="60">
        <f t="shared" si="0"/>
        <v>0</v>
      </c>
      <c r="Q9" s="6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3:31" ht="65.25" customHeight="1" x14ac:dyDescent="0.25">
      <c r="C10" s="65">
        <v>1</v>
      </c>
      <c r="D10" s="66" t="s">
        <v>1350</v>
      </c>
      <c r="E10" s="67">
        <f t="shared" ref="E10:F24" si="1">+G10+K10+O10+I10</f>
        <v>9730742186.8352394</v>
      </c>
      <c r="F10" s="68">
        <f>+H10+L10+P10+J10</f>
        <v>9655765011.33601</v>
      </c>
      <c r="G10" s="69">
        <v>7743102339.5624495</v>
      </c>
      <c r="H10" s="70">
        <v>7672180410.6855803</v>
      </c>
      <c r="I10" s="70">
        <v>1987639847.27279</v>
      </c>
      <c r="J10" s="70">
        <v>1983584600.6504302</v>
      </c>
      <c r="K10" s="71"/>
      <c r="L10" s="72"/>
      <c r="M10" s="72"/>
      <c r="N10" s="72"/>
      <c r="O10" s="72"/>
      <c r="P10" s="73"/>
      <c r="Q10" s="74"/>
    </row>
    <row r="11" spans="3:31" ht="65.25" customHeight="1" x14ac:dyDescent="0.25">
      <c r="C11" s="65">
        <v>2</v>
      </c>
      <c r="D11" s="66" t="s">
        <v>1358</v>
      </c>
      <c r="E11" s="67">
        <f t="shared" ref="E11" si="2">+G11+K11+O11+I11</f>
        <v>479247901.50699997</v>
      </c>
      <c r="F11" s="68">
        <f>+H11+L11+P11+J11</f>
        <v>474659536.70796001</v>
      </c>
      <c r="G11" s="76">
        <v>383166432.80299997</v>
      </c>
      <c r="H11" s="77">
        <v>379550612.98571002</v>
      </c>
      <c r="I11" s="77">
        <v>96081468.703999996</v>
      </c>
      <c r="J11" s="77">
        <v>95108923.72225</v>
      </c>
      <c r="K11" s="78"/>
      <c r="L11" s="72"/>
      <c r="M11" s="72"/>
      <c r="N11" s="72"/>
      <c r="O11" s="72"/>
      <c r="P11" s="73"/>
      <c r="Q11" s="74"/>
    </row>
    <row r="12" spans="3:31" s="80" customFormat="1" ht="51.75" customHeight="1" x14ac:dyDescent="0.25">
      <c r="C12" s="65">
        <f>+C11+1</f>
        <v>3</v>
      </c>
      <c r="D12" s="66" t="s">
        <v>1351</v>
      </c>
      <c r="E12" s="67">
        <f t="shared" si="1"/>
        <v>9380358</v>
      </c>
      <c r="F12" s="68">
        <f t="shared" si="1"/>
        <v>7838479.4975100001</v>
      </c>
      <c r="G12" s="79">
        <v>5103175.4009999996</v>
      </c>
      <c r="H12" s="72">
        <v>4970107.9029999999</v>
      </c>
      <c r="I12" s="72">
        <v>1260192.5989999999</v>
      </c>
      <c r="J12" s="72">
        <v>1220282.425</v>
      </c>
      <c r="K12" s="72">
        <v>3016990</v>
      </c>
      <c r="L12" s="72">
        <v>1648089.1695100002</v>
      </c>
      <c r="M12" s="72">
        <v>305069</v>
      </c>
      <c r="N12" s="72">
        <v>278912.69900000002</v>
      </c>
      <c r="O12" s="72"/>
      <c r="P12" s="73"/>
      <c r="Q12" s="74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</row>
    <row r="13" spans="3:31" s="80" customFormat="1" ht="48.75" customHeight="1" x14ac:dyDescent="0.25">
      <c r="C13" s="65">
        <f t="shared" ref="C13:C46" si="3">+C12+1</f>
        <v>4</v>
      </c>
      <c r="D13" s="66" t="s">
        <v>1356</v>
      </c>
      <c r="E13" s="67">
        <f t="shared" si="1"/>
        <v>21742783</v>
      </c>
      <c r="F13" s="68">
        <f t="shared" si="1"/>
        <v>8486656.983380001</v>
      </c>
      <c r="G13" s="79"/>
      <c r="H13" s="72"/>
      <c r="I13" s="72"/>
      <c r="J13" s="72"/>
      <c r="K13" s="72">
        <f>16541954+5200829</f>
        <v>21742783</v>
      </c>
      <c r="L13" s="72">
        <f>5463872.7+3022784.28338</f>
        <v>8486656.983380001</v>
      </c>
      <c r="M13" s="72"/>
      <c r="N13" s="72"/>
      <c r="O13" s="72"/>
      <c r="P13" s="73"/>
      <c r="Q13" s="74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</row>
    <row r="14" spans="3:31" s="80" customFormat="1" ht="58.5" customHeight="1" x14ac:dyDescent="0.25">
      <c r="C14" s="65">
        <f t="shared" si="3"/>
        <v>5</v>
      </c>
      <c r="D14" s="66" t="s">
        <v>1311</v>
      </c>
      <c r="E14" s="67">
        <f t="shared" si="1"/>
        <v>5383247</v>
      </c>
      <c r="F14" s="68">
        <f t="shared" si="1"/>
        <v>4833571.8109200001</v>
      </c>
      <c r="G14" s="79">
        <v>3562762</v>
      </c>
      <c r="H14" s="72">
        <v>3418806.1463000001</v>
      </c>
      <c r="I14" s="72">
        <v>669178</v>
      </c>
      <c r="J14" s="72">
        <f>324006.7+332828.974</f>
        <v>656835.674</v>
      </c>
      <c r="K14" s="72">
        <v>1151307</v>
      </c>
      <c r="L14" s="72">
        <v>757929.99062000006</v>
      </c>
      <c r="M14" s="72">
        <v>13764</v>
      </c>
      <c r="N14" s="72">
        <v>13755.375</v>
      </c>
      <c r="O14" s="72"/>
      <c r="P14" s="73"/>
      <c r="Q14" s="74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</row>
    <row r="15" spans="3:31" s="80" customFormat="1" ht="58.5" customHeight="1" x14ac:dyDescent="0.25">
      <c r="C15" s="65">
        <f t="shared" si="3"/>
        <v>6</v>
      </c>
      <c r="D15" s="66" t="s">
        <v>1312</v>
      </c>
      <c r="E15" s="67">
        <f t="shared" si="1"/>
        <v>5253460</v>
      </c>
      <c r="F15" s="68">
        <f t="shared" si="1"/>
        <v>5075318.7985399999</v>
      </c>
      <c r="G15" s="79">
        <f>1929651+1719096</f>
        <v>3648747</v>
      </c>
      <c r="H15" s="72">
        <f>1869956.6+1690597.031</f>
        <v>3560553.6310000001</v>
      </c>
      <c r="I15" s="72">
        <f>529609+428513</f>
        <v>958122</v>
      </c>
      <c r="J15" s="72">
        <f>515627.2+424043.335</f>
        <v>939670.53500000003</v>
      </c>
      <c r="K15" s="72">
        <v>646591</v>
      </c>
      <c r="L15" s="72">
        <v>575094.6325399999</v>
      </c>
      <c r="M15" s="72"/>
      <c r="N15" s="72"/>
      <c r="O15" s="72"/>
      <c r="P15" s="73"/>
      <c r="Q15" s="74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</row>
    <row r="16" spans="3:31" s="80" customFormat="1" ht="58.5" customHeight="1" x14ac:dyDescent="0.25">
      <c r="C16" s="65">
        <f t="shared" si="3"/>
        <v>7</v>
      </c>
      <c r="D16" s="66" t="s">
        <v>1313</v>
      </c>
      <c r="E16" s="67">
        <f t="shared" si="1"/>
        <v>3554915</v>
      </c>
      <c r="F16" s="68">
        <f t="shared" si="1"/>
        <v>3095002.0537</v>
      </c>
      <c r="G16" s="79">
        <v>2074755</v>
      </c>
      <c r="H16" s="72">
        <v>2022799.7772000001</v>
      </c>
      <c r="I16" s="72">
        <v>509053</v>
      </c>
      <c r="J16" s="72">
        <v>496564.28347999998</v>
      </c>
      <c r="K16" s="72">
        <v>971107</v>
      </c>
      <c r="L16" s="72">
        <v>575637.99301999994</v>
      </c>
      <c r="M16" s="72"/>
      <c r="N16" s="72"/>
      <c r="O16" s="72"/>
      <c r="P16" s="73"/>
      <c r="Q16" s="74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</row>
    <row r="17" spans="3:31" s="80" customFormat="1" ht="58.5" customHeight="1" x14ac:dyDescent="0.25">
      <c r="C17" s="65">
        <f t="shared" si="3"/>
        <v>8</v>
      </c>
      <c r="D17" s="66" t="s">
        <v>1314</v>
      </c>
      <c r="E17" s="67">
        <f t="shared" si="1"/>
        <v>4134533</v>
      </c>
      <c r="F17" s="68">
        <f>+H17+L17+P17+J17</f>
        <v>3778980.5525100003</v>
      </c>
      <c r="G17" s="79">
        <f>1453907+1109737</f>
        <v>2563644</v>
      </c>
      <c r="H17" s="72">
        <f>1408505.6+1084817.578</f>
        <v>2493323.1780000003</v>
      </c>
      <c r="I17" s="72">
        <f>385766+256002</f>
        <v>641768</v>
      </c>
      <c r="J17" s="72">
        <f>375230.5+253723.606</f>
        <v>628954.10600000003</v>
      </c>
      <c r="K17" s="72">
        <v>929121</v>
      </c>
      <c r="L17" s="72">
        <v>656703.26850999997</v>
      </c>
      <c r="M17" s="72">
        <v>4500</v>
      </c>
      <c r="N17" s="72">
        <v>4498.8</v>
      </c>
      <c r="O17" s="72"/>
      <c r="P17" s="73"/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</row>
    <row r="18" spans="3:31" s="80" customFormat="1" ht="58.5" customHeight="1" x14ac:dyDescent="0.25">
      <c r="C18" s="65">
        <f t="shared" si="3"/>
        <v>9</v>
      </c>
      <c r="D18" s="66" t="s">
        <v>1315</v>
      </c>
      <c r="E18" s="67">
        <f t="shared" si="1"/>
        <v>5314428</v>
      </c>
      <c r="F18" s="68">
        <f t="shared" si="1"/>
        <v>3757315.6320099998</v>
      </c>
      <c r="G18" s="79">
        <v>2341830</v>
      </c>
      <c r="H18" s="72">
        <v>2250809.2429999998</v>
      </c>
      <c r="I18" s="72">
        <v>570392</v>
      </c>
      <c r="J18" s="72">
        <v>561843.08400000003</v>
      </c>
      <c r="K18" s="72">
        <v>2402206</v>
      </c>
      <c r="L18" s="72">
        <v>944663.30501000001</v>
      </c>
      <c r="M18" s="72"/>
      <c r="N18" s="72"/>
      <c r="O18" s="72"/>
      <c r="P18" s="73"/>
      <c r="Q18" s="74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</row>
    <row r="19" spans="3:31" s="80" customFormat="1" ht="58.5" customHeight="1" x14ac:dyDescent="0.25">
      <c r="C19" s="65">
        <f t="shared" si="3"/>
        <v>10</v>
      </c>
      <c r="D19" s="66" t="s">
        <v>1316</v>
      </c>
      <c r="E19" s="67">
        <f t="shared" si="1"/>
        <v>4835358</v>
      </c>
      <c r="F19" s="68">
        <f t="shared" si="1"/>
        <v>4661826.5429999996</v>
      </c>
      <c r="G19" s="79">
        <v>3291297</v>
      </c>
      <c r="H19" s="72">
        <v>3231707.2529999996</v>
      </c>
      <c r="I19" s="72">
        <v>816784</v>
      </c>
      <c r="J19" s="72">
        <v>792637.88800000004</v>
      </c>
      <c r="K19" s="72">
        <v>727277</v>
      </c>
      <c r="L19" s="72">
        <v>637481.402</v>
      </c>
      <c r="M19" s="72"/>
      <c r="N19" s="72"/>
      <c r="O19" s="72"/>
      <c r="P19" s="73"/>
      <c r="Q19" s="74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</row>
    <row r="20" spans="3:31" s="80" customFormat="1" ht="58.5" customHeight="1" x14ac:dyDescent="0.25">
      <c r="C20" s="65">
        <f t="shared" si="3"/>
        <v>11</v>
      </c>
      <c r="D20" s="66" t="s">
        <v>1317</v>
      </c>
      <c r="E20" s="67">
        <f t="shared" si="1"/>
        <v>3982964</v>
      </c>
      <c r="F20" s="68">
        <f t="shared" si="1"/>
        <v>3582728.3390000002</v>
      </c>
      <c r="G20" s="79">
        <v>2552392</v>
      </c>
      <c r="H20" s="72">
        <v>2492647.943</v>
      </c>
      <c r="I20" s="72">
        <v>667588</v>
      </c>
      <c r="J20" s="72">
        <v>641382.33900000004</v>
      </c>
      <c r="K20" s="72">
        <v>762984</v>
      </c>
      <c r="L20" s="72">
        <v>448698.05700000003</v>
      </c>
      <c r="M20" s="72"/>
      <c r="N20" s="72"/>
      <c r="O20" s="72"/>
      <c r="P20" s="73"/>
      <c r="Q20" s="7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3:31" s="80" customFormat="1" ht="58.5" customHeight="1" x14ac:dyDescent="0.25">
      <c r="C21" s="65">
        <f t="shared" si="3"/>
        <v>12</v>
      </c>
      <c r="D21" s="66" t="s">
        <v>1318</v>
      </c>
      <c r="E21" s="67">
        <f t="shared" si="1"/>
        <v>4672028</v>
      </c>
      <c r="F21" s="68">
        <f t="shared" si="1"/>
        <v>4403370.13038</v>
      </c>
      <c r="G21" s="79">
        <v>2889965</v>
      </c>
      <c r="H21" s="72">
        <v>2841075.0210000002</v>
      </c>
      <c r="I21" s="72">
        <v>761579</v>
      </c>
      <c r="J21" s="72">
        <v>728398.60800000001</v>
      </c>
      <c r="K21" s="72">
        <v>1020484</v>
      </c>
      <c r="L21" s="72">
        <v>833896.50138000003</v>
      </c>
      <c r="M21" s="72"/>
      <c r="N21" s="72"/>
      <c r="O21" s="72"/>
      <c r="P21" s="73"/>
      <c r="Q21" s="74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  <row r="22" spans="3:31" s="80" customFormat="1" ht="58.5" customHeight="1" x14ac:dyDescent="0.25">
      <c r="C22" s="65">
        <f t="shared" si="3"/>
        <v>13</v>
      </c>
      <c r="D22" s="66" t="s">
        <v>1319</v>
      </c>
      <c r="E22" s="67">
        <f t="shared" si="1"/>
        <v>7424543</v>
      </c>
      <c r="F22" s="68">
        <f t="shared" si="1"/>
        <v>6734451.8978000013</v>
      </c>
      <c r="G22" s="79">
        <v>5062164</v>
      </c>
      <c r="H22" s="72">
        <v>4993460.4590000007</v>
      </c>
      <c r="I22" s="72">
        <v>1302022</v>
      </c>
      <c r="J22" s="72">
        <v>1263818.9040000001</v>
      </c>
      <c r="K22" s="72">
        <v>1060357</v>
      </c>
      <c r="L22" s="72">
        <v>477172.53480000002</v>
      </c>
      <c r="M22" s="72"/>
      <c r="N22" s="72"/>
      <c r="O22" s="72"/>
      <c r="P22" s="73"/>
      <c r="Q22" s="74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</row>
    <row r="23" spans="3:31" s="80" customFormat="1" ht="58.5" customHeight="1" x14ac:dyDescent="0.25">
      <c r="C23" s="65">
        <f t="shared" si="3"/>
        <v>14</v>
      </c>
      <c r="D23" s="66" t="s">
        <v>1320</v>
      </c>
      <c r="E23" s="67">
        <f t="shared" si="1"/>
        <v>4942960</v>
      </c>
      <c r="F23" s="68">
        <f t="shared" si="1"/>
        <v>4642606.3190000001</v>
      </c>
      <c r="G23" s="79">
        <v>3082004.8</v>
      </c>
      <c r="H23" s="72">
        <v>3030707.6680000001</v>
      </c>
      <c r="I23" s="72">
        <v>824854.2</v>
      </c>
      <c r="J23" s="72">
        <v>806138.41700000002</v>
      </c>
      <c r="K23" s="72">
        <v>1036101</v>
      </c>
      <c r="L23" s="72">
        <v>805760.23400000005</v>
      </c>
      <c r="M23" s="72"/>
      <c r="N23" s="72"/>
      <c r="O23" s="72"/>
      <c r="P23" s="73"/>
      <c r="Q23" s="74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</row>
    <row r="24" spans="3:31" s="80" customFormat="1" ht="58.5" customHeight="1" x14ac:dyDescent="0.25">
      <c r="C24" s="65">
        <f t="shared" si="3"/>
        <v>15</v>
      </c>
      <c r="D24" s="66" t="s">
        <v>1322</v>
      </c>
      <c r="E24" s="67">
        <f t="shared" si="1"/>
        <v>2649319</v>
      </c>
      <c r="F24" s="68">
        <f t="shared" si="1"/>
        <v>2127909.5079999999</v>
      </c>
      <c r="G24" s="79">
        <v>1348691</v>
      </c>
      <c r="H24" s="72">
        <v>1313523.8489999999</v>
      </c>
      <c r="I24" s="72">
        <v>328741</v>
      </c>
      <c r="J24" s="72">
        <v>321168.34999999998</v>
      </c>
      <c r="K24" s="72">
        <v>971887</v>
      </c>
      <c r="L24" s="72">
        <v>493217.30900000001</v>
      </c>
      <c r="M24" s="72"/>
      <c r="N24" s="72"/>
      <c r="O24" s="72"/>
      <c r="P24" s="73"/>
      <c r="Q24" s="74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</row>
    <row r="25" spans="3:31" s="80" customFormat="1" ht="58.5" customHeight="1" x14ac:dyDescent="0.25">
      <c r="C25" s="65">
        <f t="shared" si="3"/>
        <v>16</v>
      </c>
      <c r="D25" s="66" t="s">
        <v>1321</v>
      </c>
      <c r="E25" s="67">
        <f t="shared" ref="E25:F58" si="4">+G25+K25+O25+I25</f>
        <v>4655982</v>
      </c>
      <c r="F25" s="68">
        <f t="shared" si="4"/>
        <v>4081196.4008400002</v>
      </c>
      <c r="G25" s="79">
        <v>2780534</v>
      </c>
      <c r="H25" s="72">
        <v>2646222.7510000002</v>
      </c>
      <c r="I25" s="72">
        <v>690344</v>
      </c>
      <c r="J25" s="72">
        <v>622234.61</v>
      </c>
      <c r="K25" s="72">
        <v>1185104</v>
      </c>
      <c r="L25" s="72">
        <v>812739.0398400001</v>
      </c>
      <c r="M25" s="72"/>
      <c r="N25" s="72"/>
      <c r="O25" s="72"/>
      <c r="P25" s="73"/>
      <c r="Q25" s="74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</row>
    <row r="26" spans="3:31" s="80" customFormat="1" ht="58.5" customHeight="1" x14ac:dyDescent="0.25">
      <c r="C26" s="65">
        <f t="shared" si="3"/>
        <v>17</v>
      </c>
      <c r="D26" s="66" t="s">
        <v>1323</v>
      </c>
      <c r="E26" s="67">
        <f t="shared" si="4"/>
        <v>5337690</v>
      </c>
      <c r="F26" s="68">
        <f t="shared" si="4"/>
        <v>4988250.9391999999</v>
      </c>
      <c r="G26" s="79">
        <v>3705516</v>
      </c>
      <c r="H26" s="72">
        <v>3624192.74</v>
      </c>
      <c r="I26" s="72">
        <v>981643</v>
      </c>
      <c r="J26" s="72">
        <v>898540.12</v>
      </c>
      <c r="K26" s="72">
        <v>650531</v>
      </c>
      <c r="L26" s="72">
        <v>465518.07920000004</v>
      </c>
      <c r="M26" s="72"/>
      <c r="N26" s="72"/>
      <c r="O26" s="72"/>
      <c r="P26" s="73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</row>
    <row r="27" spans="3:31" s="80" customFormat="1" ht="58.5" customHeight="1" x14ac:dyDescent="0.25">
      <c r="C27" s="65">
        <f t="shared" si="3"/>
        <v>18</v>
      </c>
      <c r="D27" s="66" t="s">
        <v>1324</v>
      </c>
      <c r="E27" s="67">
        <f t="shared" si="4"/>
        <v>4040538</v>
      </c>
      <c r="F27" s="68">
        <f t="shared" si="4"/>
        <v>3509087.6530800001</v>
      </c>
      <c r="G27" s="79">
        <v>2506289</v>
      </c>
      <c r="H27" s="72">
        <v>2433431.693</v>
      </c>
      <c r="I27" s="72">
        <v>681047</v>
      </c>
      <c r="J27" s="72">
        <v>608308.12</v>
      </c>
      <c r="K27" s="72">
        <v>853202</v>
      </c>
      <c r="L27" s="72">
        <v>467347.84007999999</v>
      </c>
      <c r="M27" s="72"/>
      <c r="N27" s="72"/>
      <c r="O27" s="72"/>
      <c r="P27" s="73"/>
      <c r="Q27" s="74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</row>
    <row r="28" spans="3:31" s="80" customFormat="1" ht="58.5" customHeight="1" x14ac:dyDescent="0.25">
      <c r="C28" s="65">
        <f t="shared" si="3"/>
        <v>19</v>
      </c>
      <c r="D28" s="66" t="s">
        <v>1325</v>
      </c>
      <c r="E28" s="67">
        <f t="shared" si="4"/>
        <v>3669547.5</v>
      </c>
      <c r="F28" s="68">
        <f t="shared" si="4"/>
        <v>3353386.73575</v>
      </c>
      <c r="G28" s="79">
        <v>2031500.9</v>
      </c>
      <c r="H28" s="72">
        <v>1993441.0379999999</v>
      </c>
      <c r="I28" s="72">
        <v>582808.5</v>
      </c>
      <c r="J28" s="72">
        <v>502202.05499999999</v>
      </c>
      <c r="K28" s="72">
        <v>1055238.1000000001</v>
      </c>
      <c r="L28" s="72">
        <v>857743.64274999988</v>
      </c>
      <c r="M28" s="72"/>
      <c r="N28" s="72"/>
      <c r="O28" s="72"/>
      <c r="P28" s="73"/>
      <c r="Q28" s="74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</row>
    <row r="29" spans="3:31" s="80" customFormat="1" ht="47.25" customHeight="1" x14ac:dyDescent="0.25">
      <c r="C29" s="65">
        <f t="shared" si="3"/>
        <v>20</v>
      </c>
      <c r="D29" s="66" t="s">
        <v>1326</v>
      </c>
      <c r="E29" s="67">
        <f t="shared" si="4"/>
        <v>3038102</v>
      </c>
      <c r="F29" s="68">
        <f t="shared" si="4"/>
        <v>2865491.4882799997</v>
      </c>
      <c r="G29" s="79">
        <v>2274325</v>
      </c>
      <c r="H29" s="72">
        <v>2188327.2709999997</v>
      </c>
      <c r="I29" s="72">
        <v>561677</v>
      </c>
      <c r="J29" s="72">
        <v>548417.39</v>
      </c>
      <c r="K29" s="72">
        <v>202100</v>
      </c>
      <c r="L29" s="72">
        <v>128746.82728</v>
      </c>
      <c r="M29" s="72"/>
      <c r="N29" s="72"/>
      <c r="O29" s="72"/>
      <c r="P29" s="73"/>
      <c r="Q29" s="74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</row>
    <row r="30" spans="3:31" s="80" customFormat="1" ht="58.5" customHeight="1" x14ac:dyDescent="0.25">
      <c r="C30" s="65">
        <f>+C29+1</f>
        <v>21</v>
      </c>
      <c r="D30" s="66" t="s">
        <v>1327</v>
      </c>
      <c r="E30" s="67">
        <f t="shared" si="4"/>
        <v>5482895</v>
      </c>
      <c r="F30" s="68">
        <f t="shared" si="4"/>
        <v>4256041.5585500002</v>
      </c>
      <c r="G30" s="79">
        <v>3104277</v>
      </c>
      <c r="H30" s="72">
        <v>3076950.247</v>
      </c>
      <c r="I30" s="72">
        <v>774188</v>
      </c>
      <c r="J30" s="72">
        <v>773764.8189999999</v>
      </c>
      <c r="K30" s="72">
        <v>1604430</v>
      </c>
      <c r="L30" s="72">
        <v>405326.49254999997</v>
      </c>
      <c r="M30" s="72"/>
      <c r="N30" s="72"/>
      <c r="O30" s="72"/>
      <c r="P30" s="73"/>
      <c r="Q30" s="74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</row>
    <row r="31" spans="3:31" s="80" customFormat="1" ht="41.25" customHeight="1" x14ac:dyDescent="0.25">
      <c r="C31" s="65">
        <f t="shared" si="3"/>
        <v>22</v>
      </c>
      <c r="D31" s="66" t="s">
        <v>1329</v>
      </c>
      <c r="E31" s="67">
        <f t="shared" si="4"/>
        <v>3746398</v>
      </c>
      <c r="F31" s="68">
        <f t="shared" si="4"/>
        <v>3636048.7625500001</v>
      </c>
      <c r="G31" s="79">
        <v>2958310</v>
      </c>
      <c r="H31" s="72">
        <v>2909215.6510299998</v>
      </c>
      <c r="I31" s="72">
        <v>776613</v>
      </c>
      <c r="J31" s="72">
        <v>725616.01152000006</v>
      </c>
      <c r="K31" s="72">
        <v>11475</v>
      </c>
      <c r="L31" s="72">
        <v>1217.0999999999999</v>
      </c>
      <c r="M31" s="72"/>
      <c r="N31" s="72"/>
      <c r="O31" s="72"/>
      <c r="P31" s="73"/>
      <c r="Q31" s="74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</row>
    <row r="32" spans="3:31" s="80" customFormat="1" ht="41.25" customHeight="1" x14ac:dyDescent="0.25">
      <c r="C32" s="65">
        <f t="shared" si="3"/>
        <v>23</v>
      </c>
      <c r="D32" s="66" t="s">
        <v>1328</v>
      </c>
      <c r="E32" s="67">
        <f t="shared" si="4"/>
        <v>3518902</v>
      </c>
      <c r="F32" s="68">
        <f t="shared" si="4"/>
        <v>3417929.5331299999</v>
      </c>
      <c r="G32" s="79">
        <v>2602842</v>
      </c>
      <c r="H32" s="72">
        <v>2586965.0839999998</v>
      </c>
      <c r="I32" s="72">
        <v>632219</v>
      </c>
      <c r="J32" s="72">
        <v>632209.15100000007</v>
      </c>
      <c r="K32" s="72">
        <v>283841</v>
      </c>
      <c r="L32" s="72">
        <v>198755.29813000001</v>
      </c>
      <c r="M32" s="72">
        <v>10500</v>
      </c>
      <c r="N32" s="72">
        <v>0</v>
      </c>
      <c r="O32" s="72"/>
      <c r="P32" s="73"/>
      <c r="Q32" s="74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</row>
    <row r="33" spans="3:31" s="80" customFormat="1" ht="41.25" customHeight="1" x14ac:dyDescent="0.25">
      <c r="C33" s="65">
        <f t="shared" si="3"/>
        <v>24</v>
      </c>
      <c r="D33" s="66" t="s">
        <v>1330</v>
      </c>
      <c r="E33" s="67">
        <f t="shared" si="4"/>
        <v>3751706</v>
      </c>
      <c r="F33" s="68">
        <f t="shared" si="4"/>
        <v>3574954.9864299996</v>
      </c>
      <c r="G33" s="79">
        <v>2516965</v>
      </c>
      <c r="H33" s="72">
        <v>2488769.9</v>
      </c>
      <c r="I33" s="72">
        <v>634654</v>
      </c>
      <c r="J33" s="72">
        <v>631924.00699999998</v>
      </c>
      <c r="K33" s="72">
        <v>600087</v>
      </c>
      <c r="L33" s="72">
        <v>454261.07942999998</v>
      </c>
      <c r="M33" s="72"/>
      <c r="N33" s="72"/>
      <c r="O33" s="72"/>
      <c r="P33" s="73"/>
      <c r="Q33" s="74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</row>
    <row r="34" spans="3:31" s="80" customFormat="1" ht="41.25" customHeight="1" x14ac:dyDescent="0.25">
      <c r="C34" s="65">
        <f>+C33+1</f>
        <v>25</v>
      </c>
      <c r="D34" s="66" t="s">
        <v>1338</v>
      </c>
      <c r="E34" s="67">
        <f t="shared" ref="E34" si="5">+G34+K34+O34+I34</f>
        <v>1580075</v>
      </c>
      <c r="F34" s="68">
        <f t="shared" ref="F34" si="6">+H34+L34+P34+J34</f>
        <v>1501053.416</v>
      </c>
      <c r="G34" s="79">
        <v>1140000</v>
      </c>
      <c r="H34" s="72">
        <v>1136999.2169999999</v>
      </c>
      <c r="I34" s="72">
        <v>284000</v>
      </c>
      <c r="J34" s="72">
        <v>282796.57799999998</v>
      </c>
      <c r="K34" s="72">
        <v>156075</v>
      </c>
      <c r="L34" s="72">
        <v>81257.620999999999</v>
      </c>
      <c r="M34" s="72"/>
      <c r="N34" s="72"/>
      <c r="O34" s="72"/>
      <c r="P34" s="73"/>
      <c r="Q34" s="74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</row>
    <row r="35" spans="3:31" s="80" customFormat="1" ht="41.25" customHeight="1" x14ac:dyDescent="0.25">
      <c r="C35" s="65">
        <f>+C34+1</f>
        <v>26</v>
      </c>
      <c r="D35" s="66" t="s">
        <v>1331</v>
      </c>
      <c r="E35" s="67">
        <f t="shared" si="4"/>
        <v>4452080</v>
      </c>
      <c r="F35" s="68">
        <f t="shared" si="4"/>
        <v>3556784.7961499998</v>
      </c>
      <c r="G35" s="79">
        <v>1867400</v>
      </c>
      <c r="H35" s="72">
        <v>1866718.2544999998</v>
      </c>
      <c r="I35" s="72">
        <v>489000</v>
      </c>
      <c r="J35" s="72">
        <v>455673.47400000005</v>
      </c>
      <c r="K35" s="72">
        <v>2095680</v>
      </c>
      <c r="L35" s="72">
        <v>1234393.0676500001</v>
      </c>
      <c r="M35" s="72">
        <v>34940</v>
      </c>
      <c r="N35" s="72">
        <v>30969.100000000002</v>
      </c>
      <c r="O35" s="72"/>
      <c r="P35" s="73"/>
      <c r="Q35" s="74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</row>
    <row r="36" spans="3:31" s="80" customFormat="1" ht="41.25" customHeight="1" x14ac:dyDescent="0.25">
      <c r="C36" s="65">
        <f t="shared" si="3"/>
        <v>27</v>
      </c>
      <c r="D36" s="66" t="s">
        <v>1332</v>
      </c>
      <c r="E36" s="67">
        <f>+G36+K36+O36+I36</f>
        <v>424050</v>
      </c>
      <c r="F36" s="68">
        <f>+H36+L36+P36+J36</f>
        <v>372925.16899999999</v>
      </c>
      <c r="G36" s="79">
        <v>303700</v>
      </c>
      <c r="H36" s="72">
        <v>288617.26500000001</v>
      </c>
      <c r="I36" s="72">
        <f>42256+33214</f>
        <v>75470</v>
      </c>
      <c r="J36" s="72">
        <f>42255.5+27719.359</f>
        <v>69974.858999999997</v>
      </c>
      <c r="K36" s="72">
        <f>13679+31201</f>
        <v>44880</v>
      </c>
      <c r="L36" s="72">
        <f>12648.2+1684.845</f>
        <v>14333.045</v>
      </c>
      <c r="M36" s="72">
        <f>1929+1600+2871</f>
        <v>6400</v>
      </c>
      <c r="N36" s="72">
        <v>1928.2</v>
      </c>
      <c r="O36" s="72"/>
      <c r="P36" s="73"/>
      <c r="Q36" s="74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</row>
    <row r="37" spans="3:31" s="80" customFormat="1" ht="41.25" customHeight="1" x14ac:dyDescent="0.25">
      <c r="C37" s="65">
        <f t="shared" si="3"/>
        <v>28</v>
      </c>
      <c r="D37" s="66" t="s">
        <v>1333</v>
      </c>
      <c r="E37" s="67">
        <f t="shared" si="4"/>
        <v>703810</v>
      </c>
      <c r="F37" s="68">
        <f t="shared" si="4"/>
        <v>437967.02925000002</v>
      </c>
      <c r="G37" s="79">
        <v>202270</v>
      </c>
      <c r="H37" s="72">
        <v>152718.97975</v>
      </c>
      <c r="I37" s="72">
        <f>25054+25246</f>
        <v>50300</v>
      </c>
      <c r="J37" s="72">
        <f>25053.5+13521.19809</f>
        <v>38574.698089999998</v>
      </c>
      <c r="K37" s="72">
        <f>22042+429198</f>
        <v>451240</v>
      </c>
      <c r="L37" s="72">
        <f>22041.5+224631.85141</f>
        <v>246673.35141</v>
      </c>
      <c r="M37" s="72">
        <f>4122+9600+6878</f>
        <v>20600</v>
      </c>
      <c r="N37" s="72">
        <f>4121.4+5994.995+6247.65312</f>
        <v>16364.048119999999</v>
      </c>
      <c r="O37" s="72"/>
      <c r="P37" s="73"/>
      <c r="Q37" s="74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3:31" s="80" customFormat="1" ht="55.5" customHeight="1" x14ac:dyDescent="0.25">
      <c r="C38" s="65">
        <f>+C37+1</f>
        <v>29</v>
      </c>
      <c r="D38" s="66" t="s">
        <v>1334</v>
      </c>
      <c r="E38" s="67">
        <f t="shared" si="4"/>
        <v>1230802.996</v>
      </c>
      <c r="F38" s="68">
        <f t="shared" si="4"/>
        <v>1155248.95077</v>
      </c>
      <c r="G38" s="79">
        <v>881095.99600000004</v>
      </c>
      <c r="H38" s="72">
        <v>880160.86899999995</v>
      </c>
      <c r="I38" s="72">
        <v>216649</v>
      </c>
      <c r="J38" s="72">
        <v>216588.02100000001</v>
      </c>
      <c r="K38" s="72">
        <v>133058</v>
      </c>
      <c r="L38" s="72">
        <v>58500.060769999996</v>
      </c>
      <c r="M38" s="72">
        <v>8516</v>
      </c>
      <c r="N38" s="72">
        <v>6145.7000000000007</v>
      </c>
      <c r="O38" s="72"/>
      <c r="P38" s="73"/>
      <c r="Q38" s="7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</row>
    <row r="39" spans="3:31" s="80" customFormat="1" ht="41.25" customHeight="1" x14ac:dyDescent="0.25">
      <c r="C39" s="65">
        <f t="shared" si="3"/>
        <v>30</v>
      </c>
      <c r="D39" s="66" t="s">
        <v>1260</v>
      </c>
      <c r="E39" s="67">
        <f t="shared" si="4"/>
        <v>4038238</v>
      </c>
      <c r="F39" s="68">
        <f t="shared" si="4"/>
        <v>3622658.4307599999</v>
      </c>
      <c r="G39" s="79">
        <v>2915160</v>
      </c>
      <c r="H39" s="72">
        <v>2738333.8849999998</v>
      </c>
      <c r="I39" s="72">
        <v>721640</v>
      </c>
      <c r="J39" s="72">
        <v>709230.93900000001</v>
      </c>
      <c r="K39" s="72">
        <f>81769+319669</f>
        <v>401438</v>
      </c>
      <c r="L39" s="72">
        <f>79841.6+95252.00676</f>
        <v>175093.60676</v>
      </c>
      <c r="M39" s="72">
        <f>5244+15000+7756</f>
        <v>28000</v>
      </c>
      <c r="N39" s="72">
        <f>5244+7920.4+4840</f>
        <v>18004.400000000001</v>
      </c>
      <c r="O39" s="81"/>
      <c r="P39" s="82"/>
      <c r="Q39" s="74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</row>
    <row r="40" spans="3:31" s="80" customFormat="1" ht="41.25" customHeight="1" x14ac:dyDescent="0.25">
      <c r="C40" s="65">
        <f t="shared" si="3"/>
        <v>31</v>
      </c>
      <c r="D40" s="66" t="s">
        <v>1261</v>
      </c>
      <c r="E40" s="67">
        <f>+G40+K40+O40+I40</f>
        <v>1322469</v>
      </c>
      <c r="F40" s="68">
        <f t="shared" si="4"/>
        <v>1311426.6496000001</v>
      </c>
      <c r="G40" s="79">
        <v>961987</v>
      </c>
      <c r="H40" s="72">
        <v>961907.97600000002</v>
      </c>
      <c r="I40" s="72">
        <v>233418</v>
      </c>
      <c r="J40" s="72">
        <v>233416.63799999998</v>
      </c>
      <c r="K40" s="72">
        <v>127064</v>
      </c>
      <c r="L40" s="72">
        <v>116102.0356</v>
      </c>
      <c r="M40" s="72">
        <v>13346</v>
      </c>
      <c r="N40" s="72">
        <v>11427.98</v>
      </c>
      <c r="O40" s="72"/>
      <c r="P40" s="73"/>
      <c r="Q40" s="74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</row>
    <row r="41" spans="3:31" s="80" customFormat="1" ht="41.25" customHeight="1" x14ac:dyDescent="0.25">
      <c r="C41" s="65">
        <f t="shared" si="3"/>
        <v>32</v>
      </c>
      <c r="D41" s="66" t="s">
        <v>1262</v>
      </c>
      <c r="E41" s="67">
        <f>+G41+K41+O41+I41</f>
        <v>1937940</v>
      </c>
      <c r="F41" s="68">
        <f>+H41+L41+P41+J41</f>
        <v>1691451.4400699998</v>
      </c>
      <c r="G41" s="79">
        <v>1053530</v>
      </c>
      <c r="H41" s="72">
        <v>1036954.1506399999</v>
      </c>
      <c r="I41" s="72">
        <v>238300</v>
      </c>
      <c r="J41" s="72">
        <v>238175.68105000001</v>
      </c>
      <c r="K41" s="72">
        <v>646110</v>
      </c>
      <c r="L41" s="72">
        <v>416321.60837999999</v>
      </c>
      <c r="M41" s="72">
        <v>38550</v>
      </c>
      <c r="N41" s="72">
        <v>14550.7</v>
      </c>
      <c r="O41" s="72"/>
      <c r="P41" s="73"/>
      <c r="Q41" s="74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</row>
    <row r="42" spans="3:31" s="80" customFormat="1" ht="41.25" customHeight="1" x14ac:dyDescent="0.25">
      <c r="C42" s="65">
        <f t="shared" si="3"/>
        <v>33</v>
      </c>
      <c r="D42" s="66" t="s">
        <v>1290</v>
      </c>
      <c r="E42" s="67">
        <f t="shared" si="4"/>
        <v>184631</v>
      </c>
      <c r="F42" s="68">
        <f t="shared" si="4"/>
        <v>177054.82700000002</v>
      </c>
      <c r="G42" s="79">
        <v>149174</v>
      </c>
      <c r="H42" s="72">
        <v>141599.23000000001</v>
      </c>
      <c r="I42" s="72">
        <v>35457</v>
      </c>
      <c r="J42" s="72">
        <v>35455.597000000002</v>
      </c>
      <c r="K42" s="72"/>
      <c r="L42" s="72"/>
      <c r="M42" s="72"/>
      <c r="N42" s="72"/>
      <c r="O42" s="72"/>
      <c r="P42" s="73"/>
      <c r="Q42" s="74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</row>
    <row r="43" spans="3:31" s="80" customFormat="1" ht="41.25" customHeight="1" x14ac:dyDescent="0.25">
      <c r="C43" s="65">
        <f t="shared" si="3"/>
        <v>34</v>
      </c>
      <c r="D43" s="66" t="s">
        <v>1294</v>
      </c>
      <c r="E43" s="67">
        <f t="shared" si="4"/>
        <v>205762</v>
      </c>
      <c r="F43" s="68">
        <f t="shared" si="4"/>
        <v>196283.47699999998</v>
      </c>
      <c r="G43" s="79">
        <v>167822</v>
      </c>
      <c r="H43" s="72">
        <v>158343.82999999999</v>
      </c>
      <c r="I43" s="72">
        <v>37940</v>
      </c>
      <c r="J43" s="72">
        <v>37939.646999999997</v>
      </c>
      <c r="K43" s="72"/>
      <c r="L43" s="72"/>
      <c r="M43" s="72"/>
      <c r="N43" s="72"/>
      <c r="O43" s="72"/>
      <c r="P43" s="73"/>
      <c r="Q43" s="74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</row>
    <row r="44" spans="3:31" s="80" customFormat="1" ht="41.25" customHeight="1" x14ac:dyDescent="0.25">
      <c r="C44" s="65">
        <f t="shared" si="3"/>
        <v>35</v>
      </c>
      <c r="D44" s="83" t="s">
        <v>1265</v>
      </c>
      <c r="E44" s="67">
        <f t="shared" si="4"/>
        <v>115171</v>
      </c>
      <c r="F44" s="68">
        <f t="shared" si="4"/>
        <v>113774.185</v>
      </c>
      <c r="G44" s="79">
        <v>92211</v>
      </c>
      <c r="H44" s="72">
        <v>91007.3</v>
      </c>
      <c r="I44" s="72">
        <v>22960</v>
      </c>
      <c r="J44" s="72">
        <v>22766.884999999998</v>
      </c>
      <c r="K44" s="72"/>
      <c r="L44" s="72"/>
      <c r="M44" s="72"/>
      <c r="N44" s="72"/>
      <c r="O44" s="72"/>
      <c r="P44" s="73"/>
      <c r="Q44" s="74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</row>
    <row r="45" spans="3:31" s="80" customFormat="1" ht="41.25" customHeight="1" x14ac:dyDescent="0.25">
      <c r="C45" s="65">
        <f t="shared" si="3"/>
        <v>36</v>
      </c>
      <c r="D45" s="66" t="s">
        <v>1295</v>
      </c>
      <c r="E45" s="67">
        <f t="shared" si="4"/>
        <v>162756</v>
      </c>
      <c r="F45" s="68">
        <f t="shared" si="4"/>
        <v>155824.34400000001</v>
      </c>
      <c r="G45" s="79">
        <v>130483</v>
      </c>
      <c r="H45" s="72">
        <v>124363.436</v>
      </c>
      <c r="I45" s="72">
        <v>32273</v>
      </c>
      <c r="J45" s="72">
        <v>31460.907999999999</v>
      </c>
      <c r="K45" s="72"/>
      <c r="L45" s="72"/>
      <c r="M45" s="72"/>
      <c r="N45" s="72"/>
      <c r="O45" s="72"/>
      <c r="P45" s="73"/>
      <c r="Q45" s="74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</row>
    <row r="46" spans="3:31" s="80" customFormat="1" ht="41.25" customHeight="1" x14ac:dyDescent="0.25">
      <c r="C46" s="65">
        <f t="shared" si="3"/>
        <v>37</v>
      </c>
      <c r="D46" s="66" t="s">
        <v>1335</v>
      </c>
      <c r="E46" s="67">
        <f t="shared" si="4"/>
        <v>1977245</v>
      </c>
      <c r="F46" s="68">
        <f t="shared" si="4"/>
        <v>1798440.6290000002</v>
      </c>
      <c r="G46" s="79">
        <f>524337+316848</f>
        <v>841185</v>
      </c>
      <c r="H46" s="72">
        <f>524336.2+244127.265</f>
        <v>768463.46499999997</v>
      </c>
      <c r="I46" s="72">
        <f>126413+82597</f>
        <v>209010</v>
      </c>
      <c r="J46" s="72">
        <f>126412.6+60660.284</f>
        <v>187072.88400000002</v>
      </c>
      <c r="K46" s="72">
        <f>829262+97788</f>
        <v>927050</v>
      </c>
      <c r="L46" s="72">
        <f>829214.3+13689.98</f>
        <v>842904.28</v>
      </c>
      <c r="M46" s="72">
        <f>5997+11101+4906</f>
        <v>22004</v>
      </c>
      <c r="N46" s="72">
        <f>5950+2000</f>
        <v>7950</v>
      </c>
      <c r="O46" s="72"/>
      <c r="P46" s="73"/>
      <c r="Q46" s="74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</row>
    <row r="47" spans="3:31" s="80" customFormat="1" ht="41.25" customHeight="1" x14ac:dyDescent="0.25">
      <c r="C47" s="65">
        <f>+C46+1</f>
        <v>38</v>
      </c>
      <c r="D47" s="66" t="s">
        <v>1343</v>
      </c>
      <c r="E47" s="67">
        <f t="shared" si="4"/>
        <v>33103573.006999999</v>
      </c>
      <c r="F47" s="68">
        <f t="shared" si="4"/>
        <v>31853800.564999998</v>
      </c>
      <c r="G47" s="79">
        <v>20166539</v>
      </c>
      <c r="H47" s="72">
        <v>20118053.594999999</v>
      </c>
      <c r="I47" s="72">
        <v>880968</v>
      </c>
      <c r="J47" s="72">
        <v>880966.98900000006</v>
      </c>
      <c r="K47" s="72">
        <v>12056066.006999999</v>
      </c>
      <c r="L47" s="72">
        <v>10854779.980999999</v>
      </c>
      <c r="M47" s="72"/>
      <c r="N47" s="72"/>
      <c r="O47" s="72"/>
      <c r="P47" s="73"/>
      <c r="Q47" s="74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</row>
    <row r="48" spans="3:31" s="80" customFormat="1" ht="41.25" customHeight="1" x14ac:dyDescent="0.25">
      <c r="C48" s="65">
        <f t="shared" ref="C48:C53" si="7">+C47+1</f>
        <v>39</v>
      </c>
      <c r="D48" s="66" t="s">
        <v>1352</v>
      </c>
      <c r="E48" s="67">
        <f t="shared" si="4"/>
        <v>714614</v>
      </c>
      <c r="F48" s="68">
        <f t="shared" si="4"/>
        <v>714608.13699999987</v>
      </c>
      <c r="G48" s="79">
        <v>495938</v>
      </c>
      <c r="H48" s="72">
        <v>495936.36</v>
      </c>
      <c r="I48" s="72">
        <v>125565</v>
      </c>
      <c r="J48" s="72">
        <v>125563.69</v>
      </c>
      <c r="K48" s="72">
        <v>93111</v>
      </c>
      <c r="L48" s="72">
        <v>93108.087</v>
      </c>
      <c r="M48" s="72"/>
      <c r="N48" s="72"/>
      <c r="O48" s="72"/>
      <c r="P48" s="73"/>
      <c r="Q48" s="74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</row>
    <row r="49" spans="3:31" s="80" customFormat="1" ht="41.25" customHeight="1" x14ac:dyDescent="0.25">
      <c r="C49" s="65">
        <f t="shared" si="7"/>
        <v>40</v>
      </c>
      <c r="D49" s="66" t="s">
        <v>1344</v>
      </c>
      <c r="E49" s="67">
        <f t="shared" si="4"/>
        <v>1973638</v>
      </c>
      <c r="F49" s="68">
        <f t="shared" si="4"/>
        <v>1753166.9112499999</v>
      </c>
      <c r="G49" s="79">
        <f>462814+952656</f>
        <v>1415470</v>
      </c>
      <c r="H49" s="72">
        <f>344266.524+952652.658</f>
        <v>1296919.182</v>
      </c>
      <c r="I49" s="72">
        <f>133240+216648</f>
        <v>349888</v>
      </c>
      <c r="J49" s="72">
        <f>106985.361+216647.063</f>
        <v>323632.424</v>
      </c>
      <c r="K49" s="72">
        <f>130745+77535</f>
        <v>208280</v>
      </c>
      <c r="L49" s="72">
        <f>62714.31333+69900.99192</f>
        <v>132615.30525</v>
      </c>
      <c r="M49" s="72"/>
      <c r="N49" s="72"/>
      <c r="O49" s="72"/>
      <c r="P49" s="73"/>
      <c r="Q49" s="74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</row>
    <row r="50" spans="3:31" s="80" customFormat="1" ht="52.5" customHeight="1" x14ac:dyDescent="0.25">
      <c r="C50" s="65">
        <f t="shared" si="7"/>
        <v>41</v>
      </c>
      <c r="D50" s="66" t="s">
        <v>1345</v>
      </c>
      <c r="E50" s="67">
        <f t="shared" si="4"/>
        <v>385484</v>
      </c>
      <c r="F50" s="68">
        <f t="shared" si="4"/>
        <v>385020.45559999999</v>
      </c>
      <c r="G50" s="79">
        <v>300375</v>
      </c>
      <c r="H50" s="72">
        <v>300340.478</v>
      </c>
      <c r="I50" s="72">
        <v>70109</v>
      </c>
      <c r="J50" s="72">
        <v>70072.788</v>
      </c>
      <c r="K50" s="72">
        <v>15000</v>
      </c>
      <c r="L50" s="72">
        <v>14607.1896</v>
      </c>
      <c r="M50" s="72"/>
      <c r="N50" s="72"/>
      <c r="O50" s="72"/>
      <c r="P50" s="73"/>
      <c r="Q50" s="74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</row>
    <row r="51" spans="3:31" s="80" customFormat="1" ht="52.5" customHeight="1" x14ac:dyDescent="0.25">
      <c r="C51" s="65">
        <f t="shared" si="7"/>
        <v>42</v>
      </c>
      <c r="D51" s="66" t="s">
        <v>1346</v>
      </c>
      <c r="E51" s="67">
        <f t="shared" si="4"/>
        <v>1449426</v>
      </c>
      <c r="F51" s="68">
        <f t="shared" si="4"/>
        <v>1252263.077</v>
      </c>
      <c r="G51" s="79">
        <v>897043</v>
      </c>
      <c r="H51" s="72">
        <v>880298.30200000003</v>
      </c>
      <c r="I51" s="72">
        <v>222883</v>
      </c>
      <c r="J51" s="72">
        <v>218416.087</v>
      </c>
      <c r="K51" s="72">
        <v>329500</v>
      </c>
      <c r="L51" s="72">
        <v>153548.68799999999</v>
      </c>
      <c r="M51" s="72">
        <v>6200</v>
      </c>
      <c r="N51" s="72"/>
      <c r="O51" s="72"/>
      <c r="P51" s="73"/>
      <c r="Q51" s="74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</row>
    <row r="52" spans="3:31" s="80" customFormat="1" ht="52.5" customHeight="1" x14ac:dyDescent="0.25">
      <c r="C52" s="65">
        <f t="shared" si="7"/>
        <v>43</v>
      </c>
      <c r="D52" s="66" t="s">
        <v>1347</v>
      </c>
      <c r="E52" s="67">
        <f t="shared" si="4"/>
        <v>802014</v>
      </c>
      <c r="F52" s="68">
        <f t="shared" si="4"/>
        <v>648336</v>
      </c>
      <c r="G52" s="79">
        <v>534008</v>
      </c>
      <c r="H52" s="72">
        <v>514466</v>
      </c>
      <c r="I52" s="72">
        <v>200903</v>
      </c>
      <c r="J52" s="72">
        <v>126942</v>
      </c>
      <c r="K52" s="72">
        <v>67103</v>
      </c>
      <c r="L52" s="72">
        <v>6928</v>
      </c>
      <c r="M52" s="72"/>
      <c r="N52" s="72"/>
      <c r="O52" s="72"/>
      <c r="P52" s="73"/>
      <c r="Q52" s="74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3:31" s="80" customFormat="1" ht="52.5" customHeight="1" x14ac:dyDescent="0.25">
      <c r="C53" s="65">
        <f t="shared" si="7"/>
        <v>44</v>
      </c>
      <c r="D53" s="66" t="s">
        <v>1348</v>
      </c>
      <c r="E53" s="67">
        <f t="shared" si="4"/>
        <v>274221</v>
      </c>
      <c r="F53" s="68">
        <f t="shared" si="4"/>
        <v>267617.30499999999</v>
      </c>
      <c r="G53" s="79">
        <f>150722.074+56417.926</f>
        <v>207140</v>
      </c>
      <c r="H53" s="72">
        <f>150722.074+54839.438</f>
        <v>205561.51199999999</v>
      </c>
      <c r="I53" s="72">
        <f>36329.96+15001.04</f>
        <v>51331</v>
      </c>
      <c r="J53" s="72">
        <f>36329.96+10737.183</f>
        <v>47067.142999999996</v>
      </c>
      <c r="K53" s="72">
        <f>14988.65+761.35</f>
        <v>15750</v>
      </c>
      <c r="L53" s="72">
        <v>14988.65</v>
      </c>
      <c r="M53" s="72"/>
      <c r="N53" s="72"/>
      <c r="O53" s="72"/>
      <c r="P53" s="73"/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</row>
    <row r="54" spans="3:31" s="80" customFormat="1" ht="58.5" customHeight="1" x14ac:dyDescent="0.25">
      <c r="C54" s="65">
        <f>+C53+1</f>
        <v>45</v>
      </c>
      <c r="D54" s="66" t="s">
        <v>1349</v>
      </c>
      <c r="E54" s="67">
        <f>+G54+K54+O54+I54</f>
        <v>249653</v>
      </c>
      <c r="F54" s="68">
        <f>+H54+L54+P54+J54</f>
        <v>186026</v>
      </c>
      <c r="G54" s="79">
        <v>148831</v>
      </c>
      <c r="H54" s="72">
        <v>146416</v>
      </c>
      <c r="I54" s="72">
        <v>39462</v>
      </c>
      <c r="J54" s="72">
        <v>37961</v>
      </c>
      <c r="K54" s="72">
        <v>61360</v>
      </c>
      <c r="L54" s="72">
        <v>1649</v>
      </c>
      <c r="M54" s="72"/>
      <c r="N54" s="72"/>
      <c r="O54" s="72"/>
      <c r="P54" s="73"/>
      <c r="Q54" s="74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</row>
    <row r="55" spans="3:31" s="80" customFormat="1" ht="62.25" customHeight="1" x14ac:dyDescent="0.25">
      <c r="C55" s="65">
        <f>+C54+1</f>
        <v>46</v>
      </c>
      <c r="D55" s="66" t="s">
        <v>1353</v>
      </c>
      <c r="E55" s="67">
        <f t="shared" ref="E55:E57" si="8">+G55+K55+O55+I55</f>
        <v>91000000</v>
      </c>
      <c r="F55" s="68">
        <f t="shared" ref="F55:F57" si="9">+H55+L55+P55+J55</f>
        <v>50000000</v>
      </c>
      <c r="G55" s="79"/>
      <c r="H55" s="72"/>
      <c r="I55" s="72"/>
      <c r="J55" s="72"/>
      <c r="K55" s="72">
        <v>91000000</v>
      </c>
      <c r="L55" s="72">
        <v>50000000</v>
      </c>
      <c r="M55" s="72"/>
      <c r="N55" s="72"/>
      <c r="O55" s="72"/>
      <c r="P55" s="73"/>
      <c r="Q55" s="74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</row>
    <row r="56" spans="3:31" s="80" customFormat="1" ht="62.25" customHeight="1" x14ac:dyDescent="0.25">
      <c r="C56" s="65">
        <f t="shared" ref="C56:C58" si="10">+C55+1</f>
        <v>47</v>
      </c>
      <c r="D56" s="66" t="s">
        <v>1357</v>
      </c>
      <c r="E56" s="67">
        <f t="shared" si="8"/>
        <v>30064042</v>
      </c>
      <c r="F56" s="68">
        <f t="shared" si="9"/>
        <v>9947651.9552299995</v>
      </c>
      <c r="G56" s="79"/>
      <c r="H56" s="72"/>
      <c r="I56" s="72"/>
      <c r="J56" s="72"/>
      <c r="K56" s="72">
        <v>30064042</v>
      </c>
      <c r="L56" s="72">
        <v>9947651.9552299995</v>
      </c>
      <c r="M56" s="72"/>
      <c r="N56" s="72"/>
      <c r="O56" s="72"/>
      <c r="P56" s="73"/>
      <c r="Q56" s="74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</row>
    <row r="57" spans="3:31" s="80" customFormat="1" ht="62.25" customHeight="1" x14ac:dyDescent="0.25">
      <c r="C57" s="65">
        <f t="shared" si="10"/>
        <v>48</v>
      </c>
      <c r="D57" s="66" t="s">
        <v>1354</v>
      </c>
      <c r="E57" s="67">
        <f t="shared" si="8"/>
        <v>572447321</v>
      </c>
      <c r="F57" s="68">
        <f t="shared" si="9"/>
        <v>284147933.34806001</v>
      </c>
      <c r="G57" s="79"/>
      <c r="H57" s="72"/>
      <c r="I57" s="72"/>
      <c r="J57" s="72"/>
      <c r="K57" s="72">
        <v>572447321</v>
      </c>
      <c r="L57" s="72">
        <v>284147933.34806001</v>
      </c>
      <c r="M57" s="72"/>
      <c r="N57" s="72"/>
      <c r="O57" s="72"/>
      <c r="P57" s="73"/>
      <c r="Q57" s="74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</row>
    <row r="58" spans="3:31" s="80" customFormat="1" ht="115.5" customHeight="1" x14ac:dyDescent="0.25">
      <c r="C58" s="65">
        <f t="shared" si="10"/>
        <v>49</v>
      </c>
      <c r="D58" s="84" t="s">
        <v>1355</v>
      </c>
      <c r="E58" s="67">
        <f t="shared" si="4"/>
        <v>343066910</v>
      </c>
      <c r="F58" s="68">
        <f t="shared" si="4"/>
        <v>113010637.91811</v>
      </c>
      <c r="G58" s="79"/>
      <c r="H58" s="72"/>
      <c r="I58" s="72"/>
      <c r="J58" s="72"/>
      <c r="K58" s="72">
        <f>98584000+244482910</f>
        <v>343066910</v>
      </c>
      <c r="L58" s="72">
        <f>14205397.91811+98805240</f>
        <v>113010637.91811</v>
      </c>
      <c r="M58" s="72"/>
      <c r="N58" s="72"/>
      <c r="O58" s="72"/>
      <c r="P58" s="73"/>
      <c r="Q58" s="74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</row>
    <row r="60" spans="3:31" x14ac:dyDescent="0.25">
      <c r="E60" s="85"/>
      <c r="F60" s="85"/>
    </row>
    <row r="63" spans="3:31" ht="34.5" customHeight="1" x14ac:dyDescent="0.25"/>
    <row r="64" spans="3:31" ht="34.5" customHeight="1" x14ac:dyDescent="0.25">
      <c r="E64" s="85"/>
      <c r="F64" s="85"/>
    </row>
    <row r="65" ht="34.5" customHeight="1" x14ac:dyDescent="0.25"/>
    <row r="66" ht="34.5" customHeight="1" x14ac:dyDescent="0.25"/>
    <row r="67" ht="34.5" customHeight="1" x14ac:dyDescent="0.25"/>
    <row r="68" ht="34.5" customHeight="1" x14ac:dyDescent="0.25"/>
  </sheetData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.19685039370078741" right="0.19685039370078741" top="0.59055118110236227" bottom="0" header="0" footer="0"/>
  <pageSetup paperSize="9" scale="30" fitToHeight="2" orientation="landscape" r:id="rId1"/>
  <rowBreaks count="1" manualBreakCount="1">
    <brk id="5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7" t="s">
        <v>164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30" x14ac:dyDescent="0.25">
      <c r="A2" s="128" t="s">
        <v>165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 t="s">
        <v>166</v>
      </c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4" spans="1:30" x14ac:dyDescent="0.25">
      <c r="A4" s="130" t="s">
        <v>167</v>
      </c>
      <c r="B4" s="130" t="s">
        <v>168</v>
      </c>
      <c r="C4" s="1"/>
      <c r="D4" s="1"/>
      <c r="E4" s="1"/>
      <c r="F4" s="130" t="s">
        <v>169</v>
      </c>
      <c r="G4" s="130" t="s">
        <v>170</v>
      </c>
      <c r="H4" s="130" t="s">
        <v>171</v>
      </c>
      <c r="I4" s="130" t="s">
        <v>172</v>
      </c>
      <c r="J4" s="130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33" t="s">
        <v>178</v>
      </c>
      <c r="P4" s="134"/>
      <c r="Q4" s="135"/>
      <c r="R4" s="130" t="s">
        <v>179</v>
      </c>
      <c r="S4" s="133" t="s">
        <v>180</v>
      </c>
      <c r="T4" s="134"/>
      <c r="U4" s="135"/>
      <c r="V4" s="130" t="s">
        <v>181</v>
      </c>
      <c r="W4" s="130" t="s">
        <v>182</v>
      </c>
      <c r="X4" s="133" t="s">
        <v>183</v>
      </c>
      <c r="Y4" s="135"/>
      <c r="Z4" s="130" t="s">
        <v>184</v>
      </c>
      <c r="AA4" s="130" t="s">
        <v>185</v>
      </c>
      <c r="AB4" s="130" t="s">
        <v>186</v>
      </c>
      <c r="AC4" s="130" t="s">
        <v>187</v>
      </c>
      <c r="AD4" s="130" t="s">
        <v>188</v>
      </c>
    </row>
    <row r="5" spans="1:30" x14ac:dyDescent="0.25">
      <c r="A5" s="131"/>
      <c r="B5" s="131"/>
      <c r="C5" s="3"/>
      <c r="D5" s="3"/>
      <c r="E5" s="3"/>
      <c r="F5" s="131"/>
      <c r="G5" s="131"/>
      <c r="H5" s="131"/>
      <c r="I5" s="131"/>
      <c r="J5" s="131"/>
      <c r="K5" s="3" t="s">
        <v>189</v>
      </c>
      <c r="L5" s="4" t="s">
        <v>189</v>
      </c>
      <c r="M5" s="3" t="s">
        <v>189</v>
      </c>
      <c r="N5" s="3" t="s">
        <v>189</v>
      </c>
      <c r="O5" s="130">
        <f>+SUBTOTAL(9,O10:O152)/1000</f>
        <v>139140.95300000001</v>
      </c>
      <c r="P5" s="130" t="s">
        <v>190</v>
      </c>
      <c r="Q5" s="130" t="s">
        <v>191</v>
      </c>
      <c r="R5" s="131"/>
      <c r="S5" s="130" t="s">
        <v>192</v>
      </c>
      <c r="T5" s="1" t="s">
        <v>193</v>
      </c>
      <c r="U5" s="130" t="s">
        <v>194</v>
      </c>
      <c r="V5" s="131"/>
      <c r="W5" s="131"/>
      <c r="X5" s="130" t="s">
        <v>195</v>
      </c>
      <c r="Y5" s="130" t="s">
        <v>196</v>
      </c>
      <c r="Z5" s="131"/>
      <c r="AA5" s="131"/>
      <c r="AB5" s="131"/>
      <c r="AC5" s="131"/>
      <c r="AD5" s="131"/>
    </row>
    <row r="6" spans="1:30" x14ac:dyDescent="0.25">
      <c r="A6" s="131"/>
      <c r="B6" s="131"/>
      <c r="C6" s="3"/>
      <c r="D6" s="3"/>
      <c r="E6" s="3"/>
      <c r="F6" s="131"/>
      <c r="G6" s="131"/>
      <c r="H6" s="131"/>
      <c r="I6" s="131"/>
      <c r="J6" s="131"/>
      <c r="K6" s="3"/>
      <c r="L6" s="4"/>
      <c r="M6" s="3"/>
      <c r="N6" s="3"/>
      <c r="O6" s="131"/>
      <c r="P6" s="131"/>
      <c r="Q6" s="131"/>
      <c r="R6" s="131"/>
      <c r="S6" s="131"/>
      <c r="T6" s="3" t="s">
        <v>197</v>
      </c>
      <c r="U6" s="131"/>
      <c r="V6" s="131"/>
      <c r="W6" s="131"/>
      <c r="X6" s="131"/>
      <c r="Y6" s="131"/>
      <c r="Z6" s="131"/>
      <c r="AA6" s="131"/>
      <c r="AB6" s="131"/>
      <c r="AC6" s="131"/>
      <c r="AD6" s="131"/>
    </row>
    <row r="7" spans="1:30" x14ac:dyDescent="0.25">
      <c r="A7" s="131"/>
      <c r="B7" s="131"/>
      <c r="C7" s="3"/>
      <c r="D7" s="3"/>
      <c r="E7" s="3"/>
      <c r="F7" s="131"/>
      <c r="G7" s="131"/>
      <c r="H7" s="131"/>
      <c r="I7" s="131"/>
      <c r="J7" s="131"/>
      <c r="K7" s="3"/>
      <c r="L7" s="4"/>
      <c r="M7" s="3"/>
      <c r="N7" s="3"/>
      <c r="O7" s="131"/>
      <c r="P7" s="131"/>
      <c r="Q7" s="131"/>
      <c r="R7" s="131"/>
      <c r="S7" s="131"/>
      <c r="T7" s="3" t="s">
        <v>198</v>
      </c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x14ac:dyDescent="0.25">
      <c r="A8" s="132"/>
      <c r="B8" s="132"/>
      <c r="C8" s="5"/>
      <c r="D8" s="5"/>
      <c r="E8" s="5"/>
      <c r="F8" s="132"/>
      <c r="G8" s="132"/>
      <c r="H8" s="132"/>
      <c r="I8" s="132"/>
      <c r="J8" s="132"/>
      <c r="K8" s="5"/>
      <c r="L8" s="6"/>
      <c r="M8" s="5"/>
      <c r="N8" s="5"/>
      <c r="O8" s="132"/>
      <c r="P8" s="132"/>
      <c r="Q8" s="132"/>
      <c r="R8" s="132"/>
      <c r="S8" s="132"/>
      <c r="T8" s="5" t="s">
        <v>199</v>
      </c>
      <c r="U8" s="132"/>
      <c r="V8" s="132"/>
      <c r="W8" s="132"/>
      <c r="X8" s="132"/>
      <c r="Y8" s="132"/>
      <c r="Z8" s="132"/>
      <c r="AA8" s="132"/>
      <c r="AB8" s="132"/>
      <c r="AC8" s="132"/>
      <c r="AD8" s="132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2-чорак</vt:lpstr>
      <vt:lpstr>Шартномалар</vt:lpstr>
      <vt:lpstr>'2023 йил 2-чорак'!Заголовки_для_печати</vt:lpstr>
      <vt:lpstr>'Йиллик параметр'!Заголовки_для_печати</vt:lpstr>
      <vt:lpstr>'2023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2023-07-18T04:55:49Z</dcterms:modified>
</cp:coreProperties>
</file>